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240" yWindow="105" windowWidth="14805" windowHeight="8010" activeTab="0"/>
  </bookViews>
  <sheets>
    <sheet name="Masonry" sheetId="1" r:id="rId1"/>
    <sheet name="Concrete" sheetId="2" r:id="rId2"/>
    <sheet name="Plaster" sheetId="3" r:id="rId3"/>
    <sheet name="Tile" sheetId="4" r:id="rId4"/>
    <sheet name="Converter" sheetId="5" r:id="rId5"/>
  </sheets>
  <definedNames>
    <definedName name="_xlnm.Print_Area" localSheetId="1">Concrete!$A$1:$R$12</definedName>
    <definedName name="_xlnm.Print_Area" localSheetId="4">Converter!$A$1:$N$38</definedName>
    <definedName name="_xlnm.Print_Area" localSheetId="0">Masonry!$A$1:$N$33</definedName>
    <definedName name="_xlnm.Print_Area" localSheetId="2">Plaster!$A$1:$N$9</definedName>
    <definedName name="_xlnm.Print_Area" localSheetId="3">Tile!$A$1:$I$6</definedName>
  </definedNames>
</workbook>
</file>

<file path=xl/sharedStrings.xml><?xml version="1.0" encoding="utf-8"?>
<sst xmlns="http://schemas.openxmlformats.org/spreadsheetml/2006/main" uniqueCount="113" count="113">
  <si>
    <t>No of Bricks</t>
  </si>
  <si>
    <t>Mortor</t>
  </si>
  <si>
    <t>Ratio</t>
  </si>
  <si>
    <t>Sum</t>
  </si>
  <si>
    <t>Cement</t>
  </si>
  <si>
    <t>Sand</t>
  </si>
  <si>
    <t>Cft</t>
  </si>
  <si>
    <t>No</t>
  </si>
  <si>
    <t>Bags</t>
  </si>
  <si>
    <t>Masonry Volume</t>
  </si>
  <si>
    <t>Masonry Work for Ft</t>
  </si>
  <si>
    <t>Masonry Work for Meter</t>
  </si>
  <si>
    <t>Concrete Work</t>
  </si>
  <si>
    <t>Concrete Volume</t>
  </si>
  <si>
    <t>Cu.m</t>
  </si>
  <si>
    <t>:</t>
  </si>
  <si>
    <t>Crush</t>
  </si>
  <si>
    <t>Concrete Work for Ft</t>
  </si>
  <si>
    <t>Concrete Work for Meter</t>
  </si>
  <si>
    <t>Plaster Work</t>
  </si>
  <si>
    <t>Plaster Work for Ft</t>
  </si>
  <si>
    <t>Plaster Work for Meter</t>
  </si>
  <si>
    <t>Plaster Area</t>
  </si>
  <si>
    <t>Thickness</t>
  </si>
  <si>
    <t>Sft</t>
  </si>
  <si>
    <t>Inch</t>
  </si>
  <si>
    <t>Volume</t>
  </si>
  <si>
    <t>Sq.m</t>
  </si>
  <si>
    <t>mm</t>
  </si>
  <si>
    <t>Tile Work</t>
  </si>
  <si>
    <t>Tile Work for Ft</t>
  </si>
  <si>
    <t>Floor Area</t>
  </si>
  <si>
    <t>Area of 1 Tile</t>
  </si>
  <si>
    <t>No of Tile</t>
  </si>
  <si>
    <t>Tile Work for Meter</t>
  </si>
  <si>
    <t>Foundation</t>
  </si>
  <si>
    <t>Column</t>
  </si>
  <si>
    <t>Beam</t>
  </si>
  <si>
    <t>Item</t>
  </si>
  <si>
    <t>KG</t>
  </si>
  <si>
    <t>Ton</t>
  </si>
  <si>
    <t>Steel in R.C.C for Meter</t>
  </si>
  <si>
    <t>Slab/Stair</t>
  </si>
  <si>
    <t>Steel in R.C.C for Ft</t>
  </si>
  <si>
    <t>Converter</t>
  </si>
  <si>
    <t>Feet to Meter</t>
  </si>
  <si>
    <t>Ft</t>
  </si>
  <si>
    <t>Meter</t>
  </si>
  <si>
    <t>Meter to Feet</t>
  </si>
  <si>
    <t>Inch to Centimeter</t>
  </si>
  <si>
    <t>Centimeter</t>
  </si>
  <si>
    <t>Feet to Centimeter</t>
  </si>
  <si>
    <t>Feet to Millimeter</t>
  </si>
  <si>
    <t>Millimeter</t>
  </si>
  <si>
    <t>Inch to Millimeter</t>
  </si>
  <si>
    <t>Sooter to Millimeter</t>
  </si>
  <si>
    <t>Sooter</t>
  </si>
  <si>
    <t>Meter to Inch</t>
  </si>
  <si>
    <t>Meter to Centimeter</t>
  </si>
  <si>
    <t>Meter to Millimeter</t>
  </si>
  <si>
    <t xml:space="preserve"> Centimeter to Meter</t>
  </si>
  <si>
    <t>Millimeter to Meter</t>
  </si>
  <si>
    <t xml:space="preserve"> Centimeter to Feet</t>
  </si>
  <si>
    <t xml:space="preserve"> Centimeter to Inch</t>
  </si>
  <si>
    <t xml:space="preserve"> Centimeter to Millimeter</t>
  </si>
  <si>
    <t xml:space="preserve"> Millimeter to Feet</t>
  </si>
  <si>
    <t>Millimeter to Inch</t>
  </si>
  <si>
    <t>Millimeter to Centimeter</t>
  </si>
  <si>
    <t>Block Masonry Work</t>
  </si>
  <si>
    <t>Masonry Work for Ft (8"X4"X16")</t>
  </si>
  <si>
    <t>Masonry Work for Meter (8"X4"X16")</t>
  </si>
  <si>
    <t>Masonry Work for Ft (8"X8"X16")</t>
  </si>
  <si>
    <t>Masonry Work for Meter (8"X8"X16")</t>
  </si>
  <si>
    <t>Masonry Work for Ft (8"X6"X16")</t>
  </si>
  <si>
    <t>Masonry Work for Meter (8"X6"X16")</t>
  </si>
  <si>
    <t>% Factor</t>
  </si>
  <si>
    <t>Sft to Sq.m</t>
  </si>
  <si>
    <t>Length</t>
  </si>
  <si>
    <t>Area</t>
  </si>
  <si>
    <t>Sq.in to Sq.Cm</t>
  </si>
  <si>
    <t>Sq.in</t>
  </si>
  <si>
    <t>Sq.cm</t>
  </si>
  <si>
    <t>Sq.in to Sq.mm</t>
  </si>
  <si>
    <t>Sq.mm</t>
  </si>
  <si>
    <t>Sq.m to Sft</t>
  </si>
  <si>
    <t>Sq.Cm to Sq.in</t>
  </si>
  <si>
    <t>Sq.mm to Sq.in</t>
  </si>
  <si>
    <t>Cft to Cu.m</t>
  </si>
  <si>
    <t>Cu.in to Cu.Cm</t>
  </si>
  <si>
    <t>Cu.in</t>
  </si>
  <si>
    <t>Cu.cm</t>
  </si>
  <si>
    <t>Cu.in to Cu.mm</t>
  </si>
  <si>
    <t>Cu.mm</t>
  </si>
  <si>
    <t>Cu.ft</t>
  </si>
  <si>
    <t>Cu.m to Cft</t>
  </si>
  <si>
    <t>Cu.Cm to Cu.in</t>
  </si>
  <si>
    <t>Cu.mm to Cu.in</t>
  </si>
  <si>
    <t>Brick Masonry Work</t>
  </si>
  <si>
    <t>Weight</t>
  </si>
  <si>
    <t>Lbs to Kg</t>
  </si>
  <si>
    <t>Lbs</t>
  </si>
  <si>
    <t>Kg</t>
  </si>
  <si>
    <t>Kg to Lbs</t>
  </si>
  <si>
    <t>Kg to Ton</t>
  </si>
  <si>
    <t>Ton to Kg</t>
  </si>
  <si>
    <t>Mile to Km</t>
  </si>
  <si>
    <t>Mile</t>
  </si>
  <si>
    <t>Km</t>
  </si>
  <si>
    <t>Km to Mile</t>
  </si>
  <si>
    <t>Mile to Meter</t>
  </si>
  <si>
    <t>Mile to Feet</t>
  </si>
  <si>
    <t>Km to Meter</t>
  </si>
  <si>
    <t>Km to Feet</t>
  </si>
</sst>
</file>

<file path=xl/styles.xml><?xml version="1.0" encoding="utf-8"?>
<styleSheet xmlns="http://schemas.openxmlformats.org/spreadsheetml/2006/main">
  <numFmts count="5">
    <numFmt numFmtId="0" formatCode="General"/>
    <numFmt numFmtId="2" formatCode="0.00"/>
    <numFmt numFmtId="1" formatCode="0"/>
    <numFmt numFmtId="165" formatCode="0.000"/>
    <numFmt numFmtId="164" formatCode="0.0"/>
  </numFmts>
  <fonts count="6">
    <font>
      <name val="Calibri"/>
      <sz val="11"/>
    </font>
    <font>
      <name val="Calibri"/>
      <sz val="11"/>
      <color rgb="FF000000"/>
    </font>
    <font>
      <name val="Calibri"/>
      <b/>
      <sz val="22"/>
      <color rgb="FF000000"/>
    </font>
    <font>
      <name val="Calibri"/>
      <b/>
      <sz val="11"/>
      <color rgb="FF000000"/>
    </font>
    <font>
      <name val="Calibri"/>
      <b/>
      <sz val="36"/>
      <color rgb="FF000000"/>
    </font>
    <font>
      <name val="Calibri"/>
      <sz val="11"/>
      <color rgb="FFFF0000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568FD4"/>
        <bgColor indexed="64"/>
      </patternFill>
    </fill>
    <fill>
      <patternFill patternType="solid">
        <fgColor rgb="FFC6D9F0"/>
        <bgColor indexed="64"/>
      </patternFill>
    </fill>
    <fill>
      <patternFill patternType="solid">
        <fgColor rgb="FFFFFFFF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3">
    <xf numFmtId="0" fontId="0" fillId="0" borderId="0" xfId="0">
      <alignment vertical="center"/>
    </xf>
    <xf numFmtId="0" fontId="1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2" xfId="0" applyBorder="1" applyAlignment="1">
      <alignment vertical="bottom"/>
    </xf>
    <xf numFmtId="0" fontId="1" fillId="0" borderId="3" xfId="0" applyBorder="1" applyAlignment="1">
      <alignment vertical="bottom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0" xfId="0" applyBorder="1" applyAlignment="1">
      <alignment vertical="bottom"/>
    </xf>
    <xf numFmtId="0" fontId="1" fillId="0" borderId="6" xfId="0" applyBorder="1" applyAlignment="1">
      <alignment vertical="bottom"/>
    </xf>
    <xf numFmtId="0" fontId="3" fillId="0" borderId="0" xfId="0" applyFo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6" xfId="0" applyFont="1" applyBorder="1">
      <alignment vertical="center"/>
    </xf>
    <xf numFmtId="0" fontId="1" fillId="0" borderId="10" xfId="0" applyBorder="1" applyAlignment="1">
      <alignment vertical="bottom"/>
    </xf>
    <xf numFmtId="0" fontId="1" fillId="2" borderId="11" xfId="0" applyFill="1" applyBorder="1" applyAlignment="1">
      <alignment horizontal="center" vertical="center"/>
    </xf>
    <xf numFmtId="0" fontId="1" fillId="0" borderId="12" xfId="0" applyBorder="1" applyAlignment="1">
      <alignment horizontal="left" vertical="bottom"/>
    </xf>
    <xf numFmtId="0" fontId="1" fillId="0" borderId="13" xfId="0" applyBorder="1" applyAlignment="1">
      <alignment horizontal="left" vertical="bottom"/>
    </xf>
    <xf numFmtId="0" fontId="1" fillId="0" borderId="11" xfId="0" applyBorder="1" applyAlignment="1">
      <alignment horizontal="left" vertical="bottom"/>
    </xf>
    <xf numFmtId="0" fontId="1" fillId="0" borderId="14" xfId="0" applyBorder="1" applyAlignment="1">
      <alignment horizontal="left" vertical="bottom"/>
    </xf>
    <xf numFmtId="2" fontId="1" fillId="0" borderId="11" xfId="0" applyNumberFormat="1" applyBorder="1" applyAlignment="1">
      <alignment horizontal="center" vertical="center"/>
    </xf>
    <xf numFmtId="1" fontId="1" fillId="0" borderId="11" xfId="0" applyNumberFormat="1" applyBorder="1" applyAlignment="1">
      <alignment horizontal="center" vertical="center"/>
    </xf>
    <xf numFmtId="0" fontId="1" fillId="2" borderId="11" xfId="0" applyFill="1" applyBorder="1" applyAlignment="1">
      <alignment horizontal="right" vertical="center"/>
    </xf>
    <xf numFmtId="0" fontId="3" fillId="2" borderId="11" xfId="0" applyFont="1" applyFill="1" applyBorder="1" applyAlignment="1">
      <alignment horizontal="center" vertical="center"/>
    </xf>
    <xf numFmtId="0" fontId="1" fillId="2" borderId="14" xfId="0" applyFill="1" applyBorder="1" applyAlignment="1">
      <alignment horizontal="left" vertical="bottom"/>
    </xf>
    <xf numFmtId="0" fontId="1" fillId="0" borderId="11" xfId="0" applyBorder="1" applyAlignment="1">
      <alignment horizontal="center" vertical="bottom"/>
    </xf>
    <xf numFmtId="0" fontId="1" fillId="0" borderId="14" xfId="0" applyBorder="1" applyAlignment="1">
      <alignment horizontal="center" vertical="bottom"/>
    </xf>
    <xf numFmtId="0" fontId="1" fillId="0" borderId="15" xfId="0" applyBorder="1" applyAlignment="1">
      <alignment vertical="bottom"/>
    </xf>
    <xf numFmtId="2" fontId="1" fillId="0" borderId="16" xfId="0" applyNumberFormat="1" applyBorder="1" applyAlignment="1">
      <alignment horizontal="center" vertical="center"/>
    </xf>
    <xf numFmtId="0" fontId="1" fillId="0" borderId="17" xfId="0" applyBorder="1" applyAlignment="1">
      <alignment horizontal="left" vertical="bottom"/>
    </xf>
    <xf numFmtId="0" fontId="1" fillId="0" borderId="18" xfId="0" applyBorder="1" applyAlignment="1">
      <alignment horizontal="left" vertical="bottom"/>
    </xf>
    <xf numFmtId="0" fontId="1" fillId="0" borderId="5" xfId="0" applyBorder="1" applyAlignment="1">
      <alignment vertical="bottom"/>
    </xf>
    <xf numFmtId="0" fontId="1" fillId="0" borderId="19" xfId="0" applyBorder="1" applyAlignment="1">
      <alignment vertical="bottom"/>
    </xf>
    <xf numFmtId="0" fontId="1" fillId="0" borderId="20" xfId="0" applyBorder="1" applyAlignment="1">
      <alignment horizontal="center" vertical="bottom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0" xfId="0" applyBorder="1" applyAlignment="1">
      <alignment horizontal="center" vertical="bottom"/>
    </xf>
    <xf numFmtId="0" fontId="1" fillId="0" borderId="0" xfId="0" applyAlignment="1">
      <alignment horizontal="center" vertical="bottom"/>
    </xf>
    <xf numFmtId="0" fontId="1" fillId="0" borderId="25" xfId="0" applyBorder="1" applyAlignment="1">
      <alignment horizontal="center" vertical="center"/>
    </xf>
    <xf numFmtId="165" fontId="1" fillId="0" borderId="25" xfId="0" applyNumberFormat="1" applyBorder="1" applyAlignment="1">
      <alignment horizontal="center" vertical="bottom"/>
    </xf>
    <xf numFmtId="0" fontId="1" fillId="0" borderId="26" xfId="0" applyBorder="1" applyAlignment="1">
      <alignment horizontal="center" vertical="bottom"/>
    </xf>
    <xf numFmtId="0" fontId="1" fillId="0" borderId="27" xfId="0" applyBorder="1" applyAlignment="1">
      <alignment horizontal="center" vertical="bottom"/>
    </xf>
    <xf numFmtId="2" fontId="1" fillId="0" borderId="11" xfId="0" applyNumberFormat="1" applyBorder="1" applyAlignment="1">
      <alignment horizontal="center" vertical="center"/>
    </xf>
    <xf numFmtId="0" fontId="1" fillId="0" borderId="5" xfId="0" applyBorder="1" applyAlignment="1">
      <alignment horizontal="center" vertical="bottom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bottom"/>
    </xf>
    <xf numFmtId="0" fontId="2" fillId="0" borderId="2" xfId="0" applyFont="1" applyBorder="1" applyAlignment="1">
      <alignment horizontal="center" vertical="bottom"/>
    </xf>
    <xf numFmtId="0" fontId="2" fillId="0" borderId="3" xfId="0" applyFont="1" applyBorder="1" applyAlignment="1">
      <alignment horizontal="center" vertical="bottom"/>
    </xf>
    <xf numFmtId="0" fontId="3" fillId="2" borderId="31" xfId="0" applyFont="1" applyFill="1" applyBorder="1" applyAlignment="1">
      <alignment horizontal="center" vertical="bottom"/>
    </xf>
    <xf numFmtId="0" fontId="3" fillId="2" borderId="32" xfId="0" applyFont="1" applyFill="1" applyBorder="1" applyAlignment="1">
      <alignment horizontal="center" vertical="bottom"/>
    </xf>
    <xf numFmtId="0" fontId="3" fillId="2" borderId="33" xfId="0" applyFont="1" applyFill="1" applyBorder="1" applyAlignment="1">
      <alignment horizontal="center" vertical="bottom"/>
    </xf>
    <xf numFmtId="0" fontId="2" fillId="0" borderId="21" xfId="0" applyFont="1" applyBorder="1" applyAlignment="1">
      <alignment horizontal="center" vertical="bottom"/>
    </xf>
    <xf numFmtId="0" fontId="2" fillId="0" borderId="5" xfId="0" applyFont="1" applyBorder="1" applyAlignment="1">
      <alignment horizontal="center" vertical="bottom"/>
    </xf>
    <xf numFmtId="0" fontId="2" fillId="0" borderId="19" xfId="0" applyFont="1" applyBorder="1" applyAlignment="1">
      <alignment horizontal="center" vertical="bottom"/>
    </xf>
    <xf numFmtId="0" fontId="3" fillId="0" borderId="31" xfId="0" applyFont="1" applyBorder="1" applyAlignment="1">
      <alignment horizontal="center" vertical="bottom"/>
    </xf>
    <xf numFmtId="0" fontId="3" fillId="0" borderId="32" xfId="0" applyFont="1" applyBorder="1" applyAlignment="1">
      <alignment horizontal="center" vertical="bottom"/>
    </xf>
    <xf numFmtId="0" fontId="3" fillId="0" borderId="33" xfId="0" applyFont="1" applyBorder="1" applyAlignment="1">
      <alignment horizontal="center" vertical="bottom"/>
    </xf>
    <xf numFmtId="0" fontId="3" fillId="0" borderId="0" xfId="0" applyFont="1" applyAlignment="1">
      <alignment vertical="bottom"/>
    </xf>
    <xf numFmtId="0" fontId="3" fillId="0" borderId="7" xfId="0" applyFont="1" applyBorder="1" applyAlignment="1">
      <alignment horizontal="center" vertical="bottom"/>
    </xf>
    <xf numFmtId="0" fontId="3" fillId="0" borderId="8" xfId="0" applyFont="1" applyBorder="1" applyAlignment="1">
      <alignment horizontal="center" vertical="bottom"/>
    </xf>
    <xf numFmtId="0" fontId="3" fillId="0" borderId="9" xfId="0" applyFont="1" applyBorder="1" applyAlignment="1">
      <alignment horizontal="center" vertical="bottom"/>
    </xf>
    <xf numFmtId="0" fontId="3" fillId="0" borderId="0" xfId="0" applyFont="1" applyBorder="1" applyAlignment="1">
      <alignment vertical="bottom"/>
    </xf>
    <xf numFmtId="0" fontId="1" fillId="0" borderId="34" xfId="0" applyBorder="1" applyAlignment="1">
      <alignment vertical="bottom"/>
    </xf>
    <xf numFmtId="2" fontId="1" fillId="0" borderId="35" xfId="0" applyNumberFormat="1" applyBorder="1" applyAlignment="1">
      <alignment vertical="bottom"/>
    </xf>
    <xf numFmtId="2" fontId="1" fillId="0" borderId="36" xfId="0" applyNumberFormat="1" applyBorder="1" applyAlignment="1">
      <alignment vertical="bottom"/>
    </xf>
    <xf numFmtId="0" fontId="1" fillId="0" borderId="12" xfId="0" applyBorder="1" applyAlignment="1">
      <alignment horizontal="left" vertical="center"/>
    </xf>
    <xf numFmtId="0" fontId="1" fillId="0" borderId="37" xfId="0" applyBorder="1" applyAlignment="1">
      <alignment horizontal="left" vertical="center"/>
    </xf>
    <xf numFmtId="0" fontId="1" fillId="0" borderId="13" xfId="0" applyBorder="1" applyAlignment="1">
      <alignment horizontal="left" vertical="center"/>
    </xf>
    <xf numFmtId="2" fontId="1" fillId="2" borderId="11" xfId="0" applyNumberFormat="1" applyFill="1" applyBorder="1" applyAlignment="1">
      <alignment horizontal="center" vertical="center"/>
    </xf>
    <xf numFmtId="2" fontId="1" fillId="0" borderId="11" xfId="0" applyNumberFormat="1" applyBorder="1" applyAlignment="1">
      <alignment vertical="bottom"/>
    </xf>
    <xf numFmtId="2" fontId="1" fillId="0" borderId="14" xfId="0" applyNumberFormat="1" applyBorder="1" applyAlignment="1">
      <alignment vertical="bottom"/>
    </xf>
    <xf numFmtId="164" fontId="1" fillId="2" borderId="11" xfId="0" applyNumberFormat="1" applyFill="1" applyBorder="1" applyAlignment="1">
      <alignment horizontal="left" vertical="bottom"/>
    </xf>
    <xf numFmtId="0" fontId="3" fillId="2" borderId="11" xfId="0" applyFont="1" applyFill="1" applyBorder="1" applyAlignment="1">
      <alignment horizontal="left" vertical="bottom"/>
    </xf>
    <xf numFmtId="0" fontId="1" fillId="2" borderId="14" xfId="0" applyFill="1" applyBorder="1" applyAlignment="1">
      <alignment horizontal="center" vertical="bottom"/>
    </xf>
    <xf numFmtId="164" fontId="1" fillId="2" borderId="11" xfId="0" applyNumberFormat="1" applyFill="1" applyBorder="1" applyAlignment="1">
      <alignment horizontal="center" vertical="bottom"/>
    </xf>
    <xf numFmtId="0" fontId="3" fillId="2" borderId="11" xfId="0" applyFont="1" applyFill="1" applyBorder="1" applyAlignment="1">
      <alignment horizontal="center" vertical="bottom"/>
    </xf>
    <xf numFmtId="2" fontId="1" fillId="0" borderId="11" xfId="0" applyNumberFormat="1" applyBorder="1" applyAlignment="1">
      <alignment horizontal="center" vertical="center"/>
    </xf>
    <xf numFmtId="2" fontId="1" fillId="0" borderId="38" xfId="0" applyNumberFormat="1" applyBorder="1" applyAlignment="1">
      <alignment horizontal="left" vertical="center"/>
    </xf>
    <xf numFmtId="2" fontId="1" fillId="0" borderId="39" xfId="0" applyNumberFormat="1" applyBorder="1" applyAlignment="1">
      <alignment horizontal="left" vertical="center"/>
    </xf>
    <xf numFmtId="2" fontId="1" fillId="0" borderId="40" xfId="0" applyNumberFormat="1" applyBorder="1" applyAlignment="1">
      <alignment horizontal="left" vertical="center"/>
    </xf>
    <xf numFmtId="0" fontId="1" fillId="0" borderId="41" xfId="0" applyBorder="1" applyAlignment="1">
      <alignment vertical="bottom"/>
    </xf>
    <xf numFmtId="2" fontId="1" fillId="0" borderId="42" xfId="0" applyNumberFormat="1" applyBorder="1" applyAlignment="1">
      <alignment vertical="bottom"/>
    </xf>
    <xf numFmtId="2" fontId="1" fillId="0" borderId="43" xfId="0" applyNumberFormat="1" applyBorder="1" applyAlignment="1">
      <alignment vertical="bottom"/>
    </xf>
    <xf numFmtId="0" fontId="1" fillId="0" borderId="38" xfId="0" applyBorder="1" applyAlignment="1">
      <alignment horizontal="left" vertical="center"/>
    </xf>
    <xf numFmtId="0" fontId="1" fillId="0" borderId="39" xfId="0" applyBorder="1" applyAlignment="1">
      <alignment horizontal="left" vertical="center"/>
    </xf>
    <xf numFmtId="0" fontId="1" fillId="0" borderId="40" xfId="0" applyBorder="1" applyAlignment="1">
      <alignment horizontal="left" vertical="center"/>
    </xf>
    <xf numFmtId="0" fontId="1" fillId="0" borderId="17" xfId="0" applyBorder="1" applyAlignment="1">
      <alignment horizontal="left" vertical="center"/>
    </xf>
    <xf numFmtId="0" fontId="1" fillId="0" borderId="44" xfId="0" applyBorder="1" applyAlignment="1">
      <alignment horizontal="left" vertical="center"/>
    </xf>
    <xf numFmtId="0" fontId="1" fillId="0" borderId="18" xfId="0" applyBorder="1" applyAlignment="1">
      <alignment horizontal="left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" fillId="0" borderId="4" xfId="0" applyBorder="1" applyAlignment="1">
      <alignment vertical="bottom"/>
    </xf>
    <xf numFmtId="0" fontId="1" fillId="0" borderId="21" xfId="0" applyBorder="1" applyAlignment="1">
      <alignment vertical="bottom"/>
    </xf>
    <xf numFmtId="2" fontId="1" fillId="0" borderId="16" xfId="0" applyNumberFormat="1" applyBorder="1" applyAlignment="1">
      <alignment vertical="bottom"/>
    </xf>
    <xf numFmtId="2" fontId="1" fillId="0" borderId="45" xfId="0" applyNumberFormat="1" applyBorder="1" applyAlignment="1">
      <alignment vertical="bottom"/>
    </xf>
    <xf numFmtId="0" fontId="1" fillId="0" borderId="1" xfId="0" applyBorder="1" applyAlignment="1">
      <alignment vertical="bottom"/>
    </xf>
    <xf numFmtId="0" fontId="3" fillId="0" borderId="31" xfId="0" applyFont="1" applyBorder="1" applyAlignment="1">
      <alignment horizontal="center" vertical="bottom"/>
    </xf>
    <xf numFmtId="0" fontId="3" fillId="0" borderId="32" xfId="0" applyFont="1" applyBorder="1" applyAlignment="1">
      <alignment horizontal="center" vertical="bottom"/>
    </xf>
    <xf numFmtId="0" fontId="3" fillId="0" borderId="33" xfId="0" applyFont="1" applyBorder="1" applyAlignment="1">
      <alignment horizontal="center" vertical="bottom"/>
    </xf>
    <xf numFmtId="0" fontId="1" fillId="2" borderId="35" xfId="0" applyFill="1" applyBorder="1" applyAlignment="1">
      <alignment horizontal="center" vertical="center"/>
    </xf>
    <xf numFmtId="0" fontId="1" fillId="0" borderId="35" xfId="0" applyBorder="1" applyAlignment="1">
      <alignment horizontal="center" vertical="center"/>
    </xf>
    <xf numFmtId="0" fontId="1" fillId="0" borderId="36" xfId="0" applyBorder="1" applyAlignment="1">
      <alignment vertical="bottom"/>
    </xf>
    <xf numFmtId="0" fontId="1" fillId="0" borderId="10" xfId="0" applyBorder="1">
      <alignment vertical="center"/>
    </xf>
    <xf numFmtId="0" fontId="1" fillId="0" borderId="11" xfId="0" applyBorder="1" applyAlignment="1">
      <alignment horizontal="center" vertical="center"/>
    </xf>
    <xf numFmtId="0" fontId="1" fillId="0" borderId="14" xfId="0" applyBorder="1">
      <alignment vertical="center"/>
    </xf>
    <xf numFmtId="0" fontId="1" fillId="2" borderId="11" xfId="0" applyFill="1" applyBorder="1" applyAlignment="1">
      <alignment horizontal="left" vertical="bottom"/>
    </xf>
    <xf numFmtId="0" fontId="1" fillId="0" borderId="14" xfId="0" applyBorder="1" applyAlignment="1">
      <alignment vertical="bottom"/>
    </xf>
    <xf numFmtId="2" fontId="1" fillId="0" borderId="11" xfId="0" applyNumberFormat="1" applyBorder="1" applyAlignment="1">
      <alignment horizontal="center" vertical="center"/>
    </xf>
    <xf numFmtId="2" fontId="1" fillId="0" borderId="14" xfId="0" applyNumberFormat="1" applyBorder="1" applyAlignment="1">
      <alignment horizontal="center" vertical="center"/>
    </xf>
    <xf numFmtId="2" fontId="1" fillId="0" borderId="14" xfId="0" applyNumberFormat="1" applyBorder="1" applyAlignment="1">
      <alignment horizontal="center" vertical="center"/>
    </xf>
    <xf numFmtId="2" fontId="1" fillId="0" borderId="13" xfId="0" applyNumberFormat="1" applyBorder="1" applyAlignment="1">
      <alignment horizontal="center" vertical="center"/>
    </xf>
    <xf numFmtId="0" fontId="1" fillId="0" borderId="16" xfId="0" applyBorder="1" applyAlignment="1">
      <alignment horizontal="center" vertical="center"/>
    </xf>
    <xf numFmtId="0" fontId="1" fillId="0" borderId="46" xfId="0" applyBorder="1" applyAlignment="1">
      <alignment horizontal="center" vertical="center"/>
    </xf>
    <xf numFmtId="0" fontId="1" fillId="0" borderId="46" xfId="0" applyBorder="1" applyAlignment="1">
      <alignment horizontal="center" vertical="center"/>
    </xf>
    <xf numFmtId="0" fontId="1" fillId="0" borderId="18" xfId="0" applyBorder="1" applyAlignment="1">
      <alignment horizontal="center" vertical="center"/>
    </xf>
    <xf numFmtId="0" fontId="1" fillId="0" borderId="9" xfId="0" applyBorder="1">
      <alignment vertical="center"/>
    </xf>
    <xf numFmtId="0" fontId="1" fillId="0" borderId="15" xfId="0" applyBorder="1">
      <alignment vertical="center"/>
    </xf>
    <xf numFmtId="0" fontId="1" fillId="0" borderId="33" xfId="0" applyBorder="1">
      <alignment vertical="center"/>
    </xf>
    <xf numFmtId="0" fontId="4" fillId="3" borderId="47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1" fillId="0" borderId="0" xfId="0">
      <alignment vertical="center"/>
    </xf>
    <xf numFmtId="0" fontId="3" fillId="4" borderId="47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48" xfId="0" applyFont="1" applyFill="1" applyBorder="1" applyAlignment="1">
      <alignment horizontal="center" vertical="center"/>
    </xf>
    <xf numFmtId="0" fontId="1" fillId="0" borderId="34" xfId="0" applyBorder="1" applyAlignment="1">
      <alignment horizontal="center" vertical="center"/>
    </xf>
    <xf numFmtId="0" fontId="1" fillId="0" borderId="36" xfId="0" applyBorder="1" applyAlignment="1">
      <alignment horizontal="center" vertical="center"/>
    </xf>
    <xf numFmtId="0" fontId="1" fillId="0" borderId="24" xfId="0" applyBorder="1" applyAlignment="1">
      <alignment horizontal="center" vertical="center"/>
    </xf>
    <xf numFmtId="0" fontId="1" fillId="0" borderId="7" xfId="0" applyBorder="1" applyAlignment="1">
      <alignment horizontal="center" vertical="center"/>
    </xf>
    <xf numFmtId="0" fontId="1" fillId="0" borderId="15" xfId="0" applyBorder="1" applyAlignment="1">
      <alignment horizontal="center" vertical="center"/>
    </xf>
    <xf numFmtId="165" fontId="1" fillId="0" borderId="46" xfId="0" applyNumberFormat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165" fontId="5" fillId="2" borderId="46" xfId="0" applyNumberFormat="1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165" fontId="1" fillId="5" borderId="46" xfId="0" applyNumberFormat="1" applyFont="1" applyFill="1" applyBorder="1" applyAlignment="1">
      <alignment horizontal="center" vertical="center"/>
    </xf>
    <xf numFmtId="0" fontId="1" fillId="0" borderId="1" xfId="0" applyBorder="1" applyAlignment="1">
      <alignment horizontal="center" vertical="center"/>
    </xf>
    <xf numFmtId="0" fontId="1" fillId="0" borderId="2" xfId="0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4" xfId="0" applyBorder="1" applyAlignment="1">
      <alignment horizontal="center" vertical="center"/>
    </xf>
    <xf numFmtId="0" fontId="1" fillId="0" borderId="0" xfId="0" applyAlignment="1">
      <alignment horizontal="center" vertical="center"/>
    </xf>
    <xf numFmtId="0" fontId="1" fillId="5" borderId="34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1" fillId="5" borderId="7" xfId="0" applyFill="1" applyBorder="1" applyAlignment="1">
      <alignment horizontal="center" vertical="center"/>
    </xf>
    <xf numFmtId="0" fontId="1" fillId="5" borderId="24" xfId="0" applyFill="1" applyBorder="1" applyAlignment="1">
      <alignment horizontal="center" vertical="center"/>
    </xf>
    <xf numFmtId="0" fontId="1" fillId="5" borderId="15" xfId="0" applyFill="1" applyBorder="1" applyAlignment="1">
      <alignment horizontal="center" vertical="center"/>
    </xf>
    <xf numFmtId="165" fontId="1" fillId="5" borderId="46" xfId="0" applyNumberFormat="1" applyFill="1" applyBorder="1" applyAlignment="1">
      <alignment horizontal="center" vertical="center"/>
    </xf>
    <xf numFmtId="0" fontId="1" fillId="5" borderId="0" xfId="0" applyFill="1" applyAlignment="1">
      <alignment vertical="bottom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sharedStrings" Target="sharedStrings.xml"/><Relationship Id="rId7" Type="http://schemas.openxmlformats.org/officeDocument/2006/relationships/styles" Target="styles.xml"/><Relationship Id="rId8" Type="http://schemas.openxmlformats.org/officeDocument/2006/relationships/theme" Target="theme/theme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.xml.rels><?xml version="1.0" encoding="UTF-8" standalone="yes"?>
<Relationships xmlns="http://schemas.openxmlformats.org/package/2006/relationships"><Relationship Id="rId1" Type="http://schemas.openxmlformats.org/officeDocument/2006/relationships/image" Target="../media/image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5316</xdr:colOff>
      <xdr:row>0</xdr:row>
      <xdr:rowOff>0</xdr:rowOff>
    </xdr:from>
    <xdr:to>
      <xdr:col>13</xdr:col>
      <xdr:colOff>603693</xdr:colOff>
      <xdr:row>9</xdr:row>
      <xdr:rowOff>0</xdr:rowOff>
    </xdr:to>
    <xdr:pic>
      <xdr:nvPicPr>
        <xdr:cNvPr id="2" name="Picture 1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608615" y="0"/>
          <a:ext cx="2405742" cy="1594757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10</xdr:col>
      <xdr:colOff>8860</xdr:colOff>
      <xdr:row>12</xdr:row>
      <xdr:rowOff>0</xdr:rowOff>
    </xdr:from>
    <xdr:to>
      <xdr:col>14</xdr:col>
      <xdr:colOff>6497</xdr:colOff>
      <xdr:row>19</xdr:row>
      <xdr:rowOff>0</xdr:rowOff>
    </xdr:to>
    <xdr:pic>
      <xdr:nvPicPr>
        <xdr:cNvPr id="3" name="Picture 2" descr="project_05_a.jpg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3628653" y="2170216"/>
          <a:ext cx="2404753" cy="1397329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10</xdr:col>
      <xdr:colOff>5316</xdr:colOff>
      <xdr:row>19</xdr:row>
      <xdr:rowOff>0</xdr:rowOff>
    </xdr:from>
    <xdr:to>
      <xdr:col>14</xdr:col>
      <xdr:colOff>590</xdr:colOff>
      <xdr:row>25</xdr:row>
      <xdr:rowOff>189867</xdr:rowOff>
    </xdr:to>
    <xdr:pic>
      <xdr:nvPicPr>
        <xdr:cNvPr id="4" name="Picture 5" descr="project_05_a.jpg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3608614" y="3581400"/>
          <a:ext cx="2411185" cy="140970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10</xdr:col>
      <xdr:colOff>5316</xdr:colOff>
      <xdr:row>26</xdr:row>
      <xdr:rowOff>0</xdr:rowOff>
    </xdr:from>
    <xdr:to>
      <xdr:col>14</xdr:col>
      <xdr:colOff>590</xdr:colOff>
      <xdr:row>32</xdr:row>
      <xdr:rowOff>189867</xdr:rowOff>
    </xdr:to>
    <xdr:pic>
      <xdr:nvPicPr>
        <xdr:cNvPr id="5" name="Picture 6" descr="project_05_a.jpg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3608614" y="4996543"/>
          <a:ext cx="2411185" cy="140970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12</xdr:col>
      <xdr:colOff>209401</xdr:colOff>
      <xdr:row>12</xdr:row>
      <xdr:rowOff>0</xdr:rowOff>
    </xdr:to>
    <xdr:pic>
      <xdr:nvPicPr>
        <xdr:cNvPr id="2" name="Picture 1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1582511"/>
          <a:ext cx="4275364" cy="772885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9397</xdr:colOff>
      <xdr:row>0</xdr:row>
      <xdr:rowOff>0</xdr:rowOff>
    </xdr:from>
    <xdr:to>
      <xdr:col>14</xdr:col>
      <xdr:colOff>0</xdr:colOff>
      <xdr:row>9</xdr:row>
      <xdr:rowOff>0</xdr:rowOff>
    </xdr:to>
    <xdr:pic>
      <xdr:nvPicPr>
        <xdr:cNvPr id="2" name="Picture 1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905125" y="0"/>
          <a:ext cx="2247900" cy="1533525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8</xdr:col>
      <xdr:colOff>604283</xdr:colOff>
      <xdr:row>6</xdr:row>
      <xdr:rowOff>0</xdr:rowOff>
    </xdr:to>
    <xdr:pic>
      <xdr:nvPicPr>
        <xdr:cNvPr id="2" name="Picture 1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95625" y="0"/>
          <a:ext cx="1828800" cy="1190625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16871</xdr:colOff>
      <xdr:row>11</xdr:row>
      <xdr:rowOff>0</xdr:rowOff>
    </xdr:from>
    <xdr:to>
      <xdr:col>6</xdr:col>
      <xdr:colOff>475923</xdr:colOff>
      <xdr:row>20</xdr:row>
      <xdr:rowOff>75790</xdr:rowOff>
    </xdr:to>
    <xdr:pic>
      <xdr:nvPicPr>
        <xdr:cNvPr id="2" name="Picture 1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01657" y="2418955"/>
          <a:ext cx="1612677" cy="185420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typeface="ＭＳ Ｐゴシック" script="Jpan"/>
        <a:font typeface="맑은 고딕" script="Hang"/>
        <a:font typeface="宋体" script="Hans"/>
        <a:font typeface="新細明體" script="Hant"/>
        <a:font typeface="Times New Roman" script="Arab"/>
        <a:font typeface="Times New Roman" script="Hebr"/>
        <a:font typeface="Tahoma" script="Thai"/>
        <a:font typeface="Nyala" script="Ethi"/>
        <a:font typeface="Vrinda" script="Beng"/>
        <a:font typeface="Shruti" script="Gujr"/>
        <a:font typeface="MoolBoran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Times New Roman" script="Viet"/>
        <a:font typeface="Microsoft Uighur" script="Uigh"/>
        <a:font typeface="Sylfaen" script="Geor"/>
      </a:majorFont>
      <a:minorFont>
        <a:latin typeface="Calibri"/>
        <a:ea typeface=""/>
        <a:cs typeface=""/>
        <a:font typeface="ＭＳ Ｐゴシック" script="Jpan"/>
        <a:font typeface="맑은 고딕" script="Hang"/>
        <a:font typeface="宋体" script="Hans"/>
        <a:font typeface="新細明體" script="Hant"/>
        <a:font typeface="Arial" script="Arab"/>
        <a:font typeface="Arial" script="Hebr"/>
        <a:font typeface="Tahoma" script="Thai"/>
        <a:font typeface="Nyala" script="Ethi"/>
        <a:font typeface="Vrinda" script="Beng"/>
        <a:font typeface="Shruti" script="Gujr"/>
        <a:font typeface="DaunPenh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Arial" script="Viet"/>
        <a:font typeface="Microsoft Uighur" script="Uigh"/>
        <a:font typeface="Sylfaen" script="Geo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O33"/>
  <sheetViews>
    <sheetView tabSelected="1" workbookViewId="0" zoomScale="110">
      <selection activeCell="B5" sqref="B5"/>
    </sheetView>
  </sheetViews>
  <sheetFormatPr defaultRowHeight="15.0"/>
  <cols>
    <col min="1" max="1" customWidth="1" width="15.0" style="0"/>
    <col min="2" max="2" customWidth="1" width="7.2851563" style="1"/>
    <col min="3" max="3" customWidth="1" width="0.7109375" style="1"/>
    <col min="4" max="4" customWidth="1" width="3.8554688" style="0"/>
    <col min="5" max="5" hidden="1" width="7.140625" style="0"/>
    <col min="6" max="6" customWidth="1" width="15.140625" style="0"/>
    <col min="7" max="7" customWidth="1" width="6.8554688" style="1"/>
    <col min="8" max="8" customWidth="1" width="1.0" style="1"/>
    <col min="9" max="9" customWidth="1" width="4.140625" style="0"/>
    <col min="10" max="10" hidden="1" width="9.0" style="0"/>
    <col min="12" max="12" customWidth="1" width="9.0" style="0"/>
    <col min="13" max="13" customWidth="1" width="9.0" style="0"/>
    <col min="257" max="16384" width="9" style="0" hidden="0"/>
  </cols>
  <sheetData>
    <row r="1" spans="8:8">
      <c r="A1" s="2" t="s">
        <v>97</v>
      </c>
      <c r="B1" s="3"/>
      <c r="C1" s="3"/>
      <c r="D1" s="3"/>
      <c r="E1" s="3"/>
      <c r="F1" s="3"/>
      <c r="G1" s="3"/>
      <c r="H1" s="3"/>
      <c r="I1" s="4"/>
      <c r="J1" s="5"/>
      <c r="K1" s="5"/>
      <c r="L1" s="5"/>
      <c r="M1" s="5"/>
      <c r="N1" s="6"/>
    </row>
    <row r="2" spans="8:8" ht="15.75">
      <c r="A2" s="7"/>
      <c r="B2" s="8"/>
      <c r="C2" s="8"/>
      <c r="D2" s="8"/>
      <c r="E2" s="9"/>
      <c r="F2" s="8"/>
      <c r="G2" s="8"/>
      <c r="H2" s="8"/>
      <c r="I2" s="10"/>
      <c r="J2" s="11"/>
      <c r="K2" s="11"/>
      <c r="L2" s="11"/>
      <c r="M2" s="11"/>
      <c r="N2" s="12"/>
    </row>
    <row r="3" spans="8:8" s="13" ht="18.75" customFormat="1" customHeight="1">
      <c r="A3" s="14" t="s">
        <v>10</v>
      </c>
      <c r="B3" s="15"/>
      <c r="C3" s="15"/>
      <c r="D3" s="16"/>
      <c r="E3" s="17"/>
      <c r="F3" s="14" t="s">
        <v>11</v>
      </c>
      <c r="G3" s="15"/>
      <c r="H3" s="15"/>
      <c r="I3" s="16"/>
      <c r="J3" s="17"/>
      <c r="K3" s="17"/>
      <c r="L3" s="17"/>
      <c r="M3" s="17"/>
      <c r="N3" s="18"/>
    </row>
    <row r="4" spans="8:8">
      <c r="A4" s="19" t="s">
        <v>9</v>
      </c>
      <c r="B4" s="20">
        <v>1.0</v>
      </c>
      <c r="C4" s="21" t="s">
        <v>6</v>
      </c>
      <c r="D4" s="22"/>
      <c r="E4" s="11"/>
      <c r="F4" s="19" t="s">
        <v>9</v>
      </c>
      <c r="G4" s="20">
        <v>2.0</v>
      </c>
      <c r="H4" s="23" t="s">
        <v>14</v>
      </c>
      <c r="I4" s="24"/>
      <c r="J4" s="11"/>
      <c r="K4" s="11"/>
      <c r="L4" s="11"/>
      <c r="M4" s="11"/>
      <c r="N4" s="12"/>
    </row>
    <row r="5" spans="8:8">
      <c r="A5" s="19" t="s">
        <v>0</v>
      </c>
      <c r="B5" s="25">
        <f>B4*13.5</f>
        <v>13.5</v>
      </c>
      <c r="C5" s="21" t="s">
        <v>7</v>
      </c>
      <c r="D5" s="22"/>
      <c r="E5" s="11"/>
      <c r="F5" s="19" t="s">
        <v>0</v>
      </c>
      <c r="G5" s="26">
        <f>G4*500</f>
        <v>1000.0</v>
      </c>
      <c r="H5" s="23" t="s">
        <v>7</v>
      </c>
      <c r="I5" s="24"/>
      <c r="J5" s="11"/>
      <c r="K5" s="11"/>
      <c r="L5" s="11"/>
      <c r="M5" s="11"/>
      <c r="N5" s="12"/>
    </row>
    <row r="6" spans="8:8" ht="15.0" hidden="1">
      <c r="A6" s="19" t="s">
        <v>1</v>
      </c>
      <c r="B6" s="26">
        <f>0.3*B4</f>
        <v>0.3</v>
      </c>
      <c r="C6" s="21" t="s">
        <v>6</v>
      </c>
      <c r="D6" s="22"/>
      <c r="E6" s="11" t="s">
        <v>3</v>
      </c>
      <c r="F6" s="19" t="s">
        <v>1</v>
      </c>
      <c r="G6" s="26">
        <f>0.3*G4</f>
        <v>0.6</v>
      </c>
      <c r="H6" s="23" t="s">
        <v>14</v>
      </c>
      <c r="I6" s="24"/>
      <c r="J6" s="11" t="s">
        <v>3</v>
      </c>
      <c r="K6" s="11"/>
      <c r="L6" s="11"/>
      <c r="M6" s="11"/>
      <c r="N6" s="12"/>
    </row>
    <row r="7" spans="8:8">
      <c r="A7" s="19" t="s">
        <v>2</v>
      </c>
      <c r="B7" s="27">
        <v>1.0</v>
      </c>
      <c r="C7" s="28" t="s">
        <v>15</v>
      </c>
      <c r="D7" s="29">
        <v>6.0</v>
      </c>
      <c r="E7" s="11">
        <f>B7+D7</f>
        <v>7.0</v>
      </c>
      <c r="F7" s="19" t="s">
        <v>2</v>
      </c>
      <c r="G7" s="27">
        <v>1.0</v>
      </c>
      <c r="H7" s="28" t="s">
        <v>15</v>
      </c>
      <c r="I7" s="29">
        <v>5.0</v>
      </c>
      <c r="J7" s="11">
        <f>G7+I7</f>
        <v>6.0</v>
      </c>
      <c r="K7" s="11"/>
      <c r="L7" s="11"/>
      <c r="M7" s="11"/>
      <c r="N7" s="12"/>
    </row>
    <row r="8" spans="8:8">
      <c r="A8" s="19" t="s">
        <v>4</v>
      </c>
      <c r="B8" s="25">
        <f>((B7/E7)*B6)/1.25</f>
        <v>0.03428571428571428</v>
      </c>
      <c r="C8" s="21" t="s">
        <v>8</v>
      </c>
      <c r="D8" s="22"/>
      <c r="E8" s="11"/>
      <c r="F8" s="19" t="s">
        <v>4</v>
      </c>
      <c r="G8" s="25">
        <f>((G7/J7)*G6)/0.035</f>
        <v>2.8571428571428568</v>
      </c>
      <c r="H8" s="30" t="s">
        <v>8</v>
      </c>
      <c r="I8" s="31"/>
      <c r="J8" s="11"/>
      <c r="K8" s="11"/>
      <c r="L8" s="11"/>
      <c r="M8" s="11"/>
      <c r="N8" s="12"/>
    </row>
    <row r="9" spans="8:8" ht="15.75">
      <c r="A9" s="32" t="s">
        <v>5</v>
      </c>
      <c r="B9" s="33">
        <f>(D7/E7)*B6</f>
        <v>0.2571428571428571</v>
      </c>
      <c r="C9" s="34" t="s">
        <v>6</v>
      </c>
      <c r="D9" s="35"/>
      <c r="E9" s="36"/>
      <c r="F9" s="32" t="s">
        <v>5</v>
      </c>
      <c r="G9" s="33">
        <f>(I7/J7)*G6</f>
        <v>0.5</v>
      </c>
      <c r="H9" s="34" t="s">
        <v>14</v>
      </c>
      <c r="I9" s="35"/>
      <c r="J9" s="36"/>
      <c r="K9" s="36"/>
      <c r="L9" s="36"/>
      <c r="M9" s="36"/>
      <c r="N9" s="37"/>
    </row>
    <row r="10" spans="8:8" ht="15.7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</row>
    <row r="11" spans="8:8" ht="14.25" customHeight="1">
      <c r="A11" s="2" t="s">
        <v>68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4"/>
    </row>
    <row r="12" spans="8:8" ht="15.0" customHeight="1">
      <c r="A12" s="3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40"/>
    </row>
    <row r="13" spans="8:8" s="13" ht="33.0" customFormat="1" customHeight="1">
      <c r="A13" s="41" t="s">
        <v>69</v>
      </c>
      <c r="B13" s="42"/>
      <c r="C13" s="42"/>
      <c r="D13" s="43"/>
      <c r="E13" s="44"/>
      <c r="F13" s="41" t="s">
        <v>70</v>
      </c>
      <c r="G13" s="42"/>
      <c r="H13" s="42"/>
      <c r="I13" s="43"/>
      <c r="J13" s="44"/>
      <c r="K13" s="17"/>
      <c r="L13" s="17"/>
      <c r="M13" s="17"/>
      <c r="N13" s="18"/>
    </row>
    <row r="14" spans="8:8" ht="15.75">
      <c r="A14" s="19" t="s">
        <v>9</v>
      </c>
      <c r="B14" s="20">
        <v>100.0</v>
      </c>
      <c r="C14" s="21" t="s">
        <v>6</v>
      </c>
      <c r="D14" s="22"/>
      <c r="E14" s="45"/>
      <c r="F14" s="19" t="s">
        <v>9</v>
      </c>
      <c r="G14" s="20">
        <v>10.0</v>
      </c>
      <c r="H14" s="23" t="s">
        <v>14</v>
      </c>
      <c r="I14" s="24"/>
      <c r="J14" s="46"/>
      <c r="K14" s="11"/>
      <c r="L14" s="11"/>
      <c r="M14" s="11"/>
      <c r="N14" s="12"/>
    </row>
    <row r="15" spans="8:8" ht="15.75">
      <c r="A15" s="19" t="s">
        <v>0</v>
      </c>
      <c r="B15" s="26">
        <f>B14/E15</f>
        <v>340.0631837395388</v>
      </c>
      <c r="C15" s="21" t="s">
        <v>7</v>
      </c>
      <c r="D15" s="22"/>
      <c r="E15" s="47">
        <f>0.67*0.33*1.33</f>
        <v>0.294063</v>
      </c>
      <c r="F15" s="19" t="s">
        <v>0</v>
      </c>
      <c r="G15" s="26">
        <f>G14/J15</f>
        <v>1191.87000185024</v>
      </c>
      <c r="H15" s="23" t="s">
        <v>7</v>
      </c>
      <c r="I15" s="24"/>
      <c r="J15" s="48">
        <f>0.2032*0.1016*0.4064</f>
        <v>0.008390176768</v>
      </c>
      <c r="K15" s="11"/>
      <c r="L15" s="11"/>
      <c r="M15" s="11"/>
      <c r="N15" s="12"/>
    </row>
    <row r="16" spans="8:8" ht="15.0" hidden="1">
      <c r="A16" s="19" t="s">
        <v>1</v>
      </c>
      <c r="B16" s="26">
        <f>0.3*B14</f>
        <v>30.0</v>
      </c>
      <c r="C16" s="21" t="s">
        <v>6</v>
      </c>
      <c r="D16" s="22"/>
      <c r="E16" s="49" t="s">
        <v>3</v>
      </c>
      <c r="F16" s="19" t="s">
        <v>1</v>
      </c>
      <c r="G16" s="26">
        <f>0.3*G14</f>
        <v>3.0</v>
      </c>
      <c r="H16" s="23" t="s">
        <v>14</v>
      </c>
      <c r="I16" s="24"/>
      <c r="J16" s="49" t="s">
        <v>3</v>
      </c>
      <c r="K16" s="11"/>
      <c r="L16" s="11"/>
      <c r="M16" s="11"/>
      <c r="N16" s="12"/>
    </row>
    <row r="17" spans="8:8" ht="15.75">
      <c r="A17" s="19" t="s">
        <v>2</v>
      </c>
      <c r="B17" s="27">
        <v>1.0</v>
      </c>
      <c r="C17" s="28" t="s">
        <v>15</v>
      </c>
      <c r="D17" s="29">
        <v>6.0</v>
      </c>
      <c r="E17" s="50">
        <f>B17+D17</f>
        <v>7.0</v>
      </c>
      <c r="F17" s="19" t="s">
        <v>2</v>
      </c>
      <c r="G17" s="27">
        <v>1.0</v>
      </c>
      <c r="H17" s="28" t="s">
        <v>15</v>
      </c>
      <c r="I17" s="29">
        <v>5.0</v>
      </c>
      <c r="J17" s="50">
        <f>G17+I17</f>
        <v>6.0</v>
      </c>
      <c r="K17" s="11"/>
      <c r="L17" s="11"/>
      <c r="M17" s="11"/>
      <c r="N17" s="12"/>
    </row>
    <row r="18" spans="8:8">
      <c r="A18" s="19" t="s">
        <v>4</v>
      </c>
      <c r="B18" s="51">
        <f>((B17/E17)*B16)/1.25</f>
        <v>3.4285714285714284</v>
      </c>
      <c r="C18" s="21" t="s">
        <v>8</v>
      </c>
      <c r="D18" s="22"/>
      <c r="E18" s="45"/>
      <c r="F18" s="19" t="s">
        <v>4</v>
      </c>
      <c r="G18" s="51">
        <f>((G17/J17)*G16)/0.035</f>
        <v>14.285714285714285</v>
      </c>
      <c r="H18" s="21" t="s">
        <v>8</v>
      </c>
      <c r="I18" s="22"/>
      <c r="J18" s="45"/>
      <c r="K18" s="11"/>
      <c r="L18" s="11"/>
      <c r="M18" s="11"/>
      <c r="N18" s="12"/>
    </row>
    <row r="19" spans="8:8" ht="15.75">
      <c r="A19" s="32" t="s">
        <v>5</v>
      </c>
      <c r="B19" s="33">
        <f>(D17/E17)*B16</f>
        <v>25.71428571428571</v>
      </c>
      <c r="C19" s="34" t="s">
        <v>6</v>
      </c>
      <c r="D19" s="35"/>
      <c r="E19" s="52"/>
      <c r="F19" s="32" t="s">
        <v>5</v>
      </c>
      <c r="G19" s="33">
        <f>(I17/J17)*G16</f>
        <v>2.5</v>
      </c>
      <c r="H19" s="34" t="s">
        <v>14</v>
      </c>
      <c r="I19" s="35"/>
      <c r="J19" s="52"/>
      <c r="K19" s="36"/>
      <c r="L19" s="36"/>
      <c r="M19" s="36"/>
      <c r="N19" s="37"/>
    </row>
    <row r="20" spans="8:8" s="13" ht="33.0" customFormat="1" customHeight="1">
      <c r="A20" s="53" t="s">
        <v>71</v>
      </c>
      <c r="B20" s="54"/>
      <c r="C20" s="54"/>
      <c r="D20" s="55"/>
      <c r="E20" s="44"/>
      <c r="F20" s="53" t="s">
        <v>72</v>
      </c>
      <c r="G20" s="54"/>
      <c r="H20" s="54"/>
      <c r="I20" s="55"/>
      <c r="J20" s="44"/>
      <c r="K20" s="17"/>
      <c r="L20" s="17"/>
      <c r="M20" s="17"/>
      <c r="N20" s="18"/>
    </row>
    <row r="21" spans="8:8" ht="15.75">
      <c r="A21" s="19" t="s">
        <v>9</v>
      </c>
      <c r="B21" s="20">
        <v>100.0</v>
      </c>
      <c r="C21" s="21" t="s">
        <v>6</v>
      </c>
      <c r="D21" s="22"/>
      <c r="E21" s="45"/>
      <c r="F21" s="19" t="s">
        <v>9</v>
      </c>
      <c r="G21" s="20">
        <v>5.0</v>
      </c>
      <c r="H21" s="23" t="s">
        <v>14</v>
      </c>
      <c r="I21" s="24"/>
      <c r="J21" s="46"/>
      <c r="K21" s="11"/>
      <c r="L21" s="11"/>
      <c r="M21" s="11"/>
      <c r="N21" s="12"/>
    </row>
    <row r="22" spans="8:8" ht="15.75">
      <c r="A22" s="19" t="s">
        <v>0</v>
      </c>
      <c r="B22" s="26">
        <f>B21/E22</f>
        <v>167.49380691648923</v>
      </c>
      <c r="C22" s="21" t="s">
        <v>7</v>
      </c>
      <c r="D22" s="22"/>
      <c r="E22" s="47">
        <f>0.67*0.67*1.33</f>
        <v>0.5970370000000002</v>
      </c>
      <c r="F22" s="19" t="s">
        <v>0</v>
      </c>
      <c r="G22" s="26">
        <f>G21/J22</f>
        <v>297.96750046256</v>
      </c>
      <c r="H22" s="23" t="s">
        <v>7</v>
      </c>
      <c r="I22" s="24"/>
      <c r="J22" s="48">
        <f>0.2032*0.2032*0.4064</f>
        <v>0.016780353536</v>
      </c>
      <c r="K22" s="11"/>
      <c r="L22" s="11"/>
      <c r="M22" s="11"/>
      <c r="N22" s="12"/>
    </row>
    <row r="23" spans="8:8" ht="15.0" hidden="1">
      <c r="A23" s="19" t="s">
        <v>1</v>
      </c>
      <c r="B23" s="26">
        <f>0.3*B21</f>
        <v>30.0</v>
      </c>
      <c r="C23" s="21" t="s">
        <v>6</v>
      </c>
      <c r="D23" s="22"/>
      <c r="E23" s="49" t="s">
        <v>3</v>
      </c>
      <c r="F23" s="19" t="s">
        <v>1</v>
      </c>
      <c r="G23" s="26">
        <f>0.3*G21</f>
        <v>1.5</v>
      </c>
      <c r="H23" s="23" t="s">
        <v>14</v>
      </c>
      <c r="I23" s="24"/>
      <c r="J23" s="49" t="s">
        <v>3</v>
      </c>
      <c r="K23" s="11"/>
      <c r="L23" s="11"/>
      <c r="M23" s="11"/>
      <c r="N23" s="12"/>
    </row>
    <row r="24" spans="8:8" ht="15.75">
      <c r="A24" s="19" t="s">
        <v>2</v>
      </c>
      <c r="B24" s="27">
        <v>1.0</v>
      </c>
      <c r="C24" s="28" t="s">
        <v>15</v>
      </c>
      <c r="D24" s="29">
        <v>6.0</v>
      </c>
      <c r="E24" s="50">
        <f>B24+D24</f>
        <v>7.0</v>
      </c>
      <c r="F24" s="19" t="s">
        <v>2</v>
      </c>
      <c r="G24" s="27">
        <v>1.0</v>
      </c>
      <c r="H24" s="28" t="s">
        <v>15</v>
      </c>
      <c r="I24" s="29">
        <v>5.0</v>
      </c>
      <c r="J24" s="50">
        <f>G24+I24</f>
        <v>6.0</v>
      </c>
      <c r="K24" s="11"/>
      <c r="L24" s="11"/>
      <c r="M24" s="11"/>
      <c r="N24" s="12"/>
    </row>
    <row r="25" spans="8:8">
      <c r="A25" s="19" t="s">
        <v>4</v>
      </c>
      <c r="B25" s="51">
        <f>((B24/E24)*B23)/1.25</f>
        <v>3.4285714285714284</v>
      </c>
      <c r="C25" s="21" t="s">
        <v>8</v>
      </c>
      <c r="D25" s="22"/>
      <c r="E25" s="45"/>
      <c r="F25" s="19" t="s">
        <v>4</v>
      </c>
      <c r="G25" s="51">
        <f>((G24/J24)*G23)/0.035</f>
        <v>7.142857142857142</v>
      </c>
      <c r="H25" s="21" t="s">
        <v>8</v>
      </c>
      <c r="I25" s="22"/>
      <c r="J25" s="45"/>
      <c r="K25" s="11"/>
      <c r="L25" s="11"/>
      <c r="M25" s="11"/>
      <c r="N25" s="12"/>
    </row>
    <row r="26" spans="8:8" ht="15.75">
      <c r="A26" s="32" t="s">
        <v>5</v>
      </c>
      <c r="B26" s="33">
        <f>(D24/E24)*B23</f>
        <v>25.71428571428571</v>
      </c>
      <c r="C26" s="34" t="s">
        <v>6</v>
      </c>
      <c r="D26" s="35"/>
      <c r="E26" s="52"/>
      <c r="F26" s="32" t="s">
        <v>5</v>
      </c>
      <c r="G26" s="33">
        <f>(I24/J24)*G23</f>
        <v>1.25</v>
      </c>
      <c r="H26" s="34" t="s">
        <v>14</v>
      </c>
      <c r="I26" s="35"/>
      <c r="J26" s="52"/>
      <c r="K26" s="36"/>
      <c r="L26" s="36"/>
      <c r="M26" s="36"/>
      <c r="N26" s="37"/>
    </row>
    <row r="27" spans="8:8" s="13" ht="33.0" customFormat="1" customHeight="1">
      <c r="A27" s="53" t="s">
        <v>73</v>
      </c>
      <c r="B27" s="54"/>
      <c r="C27" s="54"/>
      <c r="D27" s="55"/>
      <c r="E27" s="44"/>
      <c r="F27" s="53" t="s">
        <v>74</v>
      </c>
      <c r="G27" s="54"/>
      <c r="H27" s="54"/>
      <c r="I27" s="55"/>
      <c r="J27" s="44"/>
      <c r="K27" s="17"/>
      <c r="L27" s="17"/>
      <c r="M27" s="17"/>
      <c r="N27" s="18"/>
    </row>
    <row r="28" spans="8:8" ht="15.75">
      <c r="A28" s="19" t="s">
        <v>9</v>
      </c>
      <c r="B28" s="20">
        <v>100.0</v>
      </c>
      <c r="C28" s="21" t="s">
        <v>6</v>
      </c>
      <c r="D28" s="22"/>
      <c r="E28" s="45"/>
      <c r="F28" s="19" t="s">
        <v>9</v>
      </c>
      <c r="G28" s="20">
        <v>20.0</v>
      </c>
      <c r="H28" s="23" t="s">
        <v>14</v>
      </c>
      <c r="I28" s="24"/>
      <c r="J28" s="46"/>
      <c r="K28" s="11"/>
      <c r="L28" s="11"/>
      <c r="M28" s="11"/>
      <c r="N28" s="12"/>
    </row>
    <row r="29" spans="8:8" ht="15.75">
      <c r="A29" s="19" t="s">
        <v>0</v>
      </c>
      <c r="B29" s="26">
        <f>B28/E29</f>
        <v>224.44170126809558</v>
      </c>
      <c r="C29" s="21" t="s">
        <v>7</v>
      </c>
      <c r="D29" s="22"/>
      <c r="E29" s="47">
        <f>0.67*0.5*1.33</f>
        <v>0.44555000000000006</v>
      </c>
      <c r="F29" s="19" t="s">
        <v>0</v>
      </c>
      <c r="G29" s="26">
        <f>G28/J29</f>
        <v>1589.1600024669867</v>
      </c>
      <c r="H29" s="23" t="s">
        <v>7</v>
      </c>
      <c r="I29" s="24"/>
      <c r="J29" s="48">
        <f>0.2032*0.1524*0.4064</f>
        <v>0.012585265152</v>
      </c>
      <c r="K29" s="11"/>
      <c r="L29" s="11"/>
      <c r="M29" s="11"/>
      <c r="N29" s="12"/>
    </row>
    <row r="30" spans="8:8" ht="15.0" hidden="1">
      <c r="A30" s="19" t="s">
        <v>1</v>
      </c>
      <c r="B30" s="26">
        <f>0.3*B28</f>
        <v>30.0</v>
      </c>
      <c r="C30" s="21" t="s">
        <v>6</v>
      </c>
      <c r="D30" s="22"/>
      <c r="E30" s="49" t="s">
        <v>3</v>
      </c>
      <c r="F30" s="19" t="s">
        <v>1</v>
      </c>
      <c r="G30" s="26">
        <f>0.3*G28</f>
        <v>6.0</v>
      </c>
      <c r="H30" s="23" t="s">
        <v>14</v>
      </c>
      <c r="I30" s="24"/>
      <c r="J30" s="49" t="s">
        <v>3</v>
      </c>
      <c r="K30" s="11"/>
      <c r="L30" s="11"/>
      <c r="M30" s="11"/>
      <c r="N30" s="12"/>
    </row>
    <row r="31" spans="8:8" ht="15.75">
      <c r="A31" s="19" t="s">
        <v>2</v>
      </c>
      <c r="B31" s="27">
        <v>1.0</v>
      </c>
      <c r="C31" s="28" t="s">
        <v>15</v>
      </c>
      <c r="D31" s="29">
        <v>6.0</v>
      </c>
      <c r="E31" s="50">
        <f>B31+D31</f>
        <v>7.0</v>
      </c>
      <c r="F31" s="19" t="s">
        <v>2</v>
      </c>
      <c r="G31" s="27">
        <v>1.0</v>
      </c>
      <c r="H31" s="28" t="s">
        <v>15</v>
      </c>
      <c r="I31" s="29">
        <v>5.0</v>
      </c>
      <c r="J31" s="50">
        <f>G31+I31</f>
        <v>6.0</v>
      </c>
      <c r="K31" s="11"/>
      <c r="L31" s="11"/>
      <c r="M31" s="11"/>
      <c r="N31" s="12"/>
    </row>
    <row r="32" spans="8:8">
      <c r="A32" s="19" t="s">
        <v>4</v>
      </c>
      <c r="B32" s="51">
        <f>((B31/E31)*B30)/1.25</f>
        <v>3.4285714285714284</v>
      </c>
      <c r="C32" s="21" t="s">
        <v>8</v>
      </c>
      <c r="D32" s="22"/>
      <c r="E32" s="45"/>
      <c r="F32" s="19" t="s">
        <v>4</v>
      </c>
      <c r="G32" s="51">
        <f>((G31/J31)*G30)/0.035</f>
        <v>28.57142857142857</v>
      </c>
      <c r="H32" s="21" t="s">
        <v>8</v>
      </c>
      <c r="I32" s="22"/>
      <c r="J32" s="45"/>
      <c r="K32" s="11"/>
      <c r="L32" s="11"/>
      <c r="M32" s="11"/>
      <c r="N32" s="12"/>
    </row>
    <row r="33" spans="8:8" ht="15.75">
      <c r="A33" s="32" t="s">
        <v>5</v>
      </c>
      <c r="B33" s="33">
        <f>(D31/E31)*B30</f>
        <v>25.71428571428571</v>
      </c>
      <c r="C33" s="34" t="s">
        <v>6</v>
      </c>
      <c r="D33" s="35"/>
      <c r="E33" s="52"/>
      <c r="F33" s="32" t="s">
        <v>5</v>
      </c>
      <c r="G33" s="33">
        <f>(I31/J31)*G30</f>
        <v>5.0</v>
      </c>
      <c r="H33" s="34" t="s">
        <v>14</v>
      </c>
      <c r="I33" s="35"/>
      <c r="J33" s="52"/>
      <c r="K33" s="36"/>
      <c r="L33" s="36"/>
      <c r="M33" s="36"/>
      <c r="N33" s="37"/>
    </row>
  </sheetData>
  <mergeCells count="51">
    <mergeCell ref="H33:I33"/>
    <mergeCell ref="C29:D29"/>
    <mergeCell ref="H29:I29"/>
    <mergeCell ref="C30:D30"/>
    <mergeCell ref="H30:I30"/>
    <mergeCell ref="C32:D32"/>
    <mergeCell ref="H26:I26"/>
    <mergeCell ref="A27:D27"/>
    <mergeCell ref="C14:D14"/>
    <mergeCell ref="F3:I3"/>
    <mergeCell ref="A3:D3"/>
    <mergeCell ref="H4:I4"/>
    <mergeCell ref="H5:I5"/>
    <mergeCell ref="H23:I23"/>
    <mergeCell ref="C6:D6"/>
    <mergeCell ref="H28:I28"/>
    <mergeCell ref="C19:D19"/>
    <mergeCell ref="F13:I13"/>
    <mergeCell ref="A13:D13"/>
    <mergeCell ref="H25:I25"/>
    <mergeCell ref="C28:D28"/>
    <mergeCell ref="C5:D5"/>
    <mergeCell ref="H14:I14"/>
    <mergeCell ref="C23:D23"/>
    <mergeCell ref="A20:D20"/>
    <mergeCell ref="H16:I16"/>
    <mergeCell ref="H21:I21"/>
    <mergeCell ref="C15:D15"/>
    <mergeCell ref="A10:N10"/>
    <mergeCell ref="C33:D33"/>
    <mergeCell ref="F27:I27"/>
    <mergeCell ref="C22:D22"/>
    <mergeCell ref="C4:D4"/>
    <mergeCell ref="H19:I19"/>
    <mergeCell ref="C26:D26"/>
    <mergeCell ref="A1:I2"/>
    <mergeCell ref="H9:I9"/>
    <mergeCell ref="H8:I8"/>
    <mergeCell ref="C8:D8"/>
    <mergeCell ref="C9:D9"/>
    <mergeCell ref="H6:I6"/>
    <mergeCell ref="H32:I32"/>
    <mergeCell ref="C25:D25"/>
    <mergeCell ref="H22:I22"/>
    <mergeCell ref="H15:I15"/>
    <mergeCell ref="C21:D21"/>
    <mergeCell ref="F20:I20"/>
    <mergeCell ref="C16:D16"/>
    <mergeCell ref="C18:D18"/>
    <mergeCell ref="H18:I18"/>
    <mergeCell ref="A11:N12"/>
  </mergeCells>
  <pageMargins left="0.7" right="0.7" top="0.75" bottom="0.75" header="0.3" footer="0.3"/>
  <pageSetup paperSize="9" scale="97"/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dimension ref="A1:S12"/>
  <sheetViews>
    <sheetView workbookViewId="0" zoomScale="175">
      <selection activeCell="D13" sqref="D13"/>
    </sheetView>
  </sheetViews>
  <sheetFormatPr defaultRowHeight="15.0"/>
  <cols>
    <col min="1" max="1" customWidth="1" width="15.855469" style="0"/>
    <col min="2" max="2" customWidth="1" width="7.140625" style="46"/>
    <col min="3" max="3" customWidth="1" width="0.85546875" style="46"/>
    <col min="4" max="4" customWidth="1" width="3.7109375" style="0"/>
    <col min="5" max="5" customWidth="1" width="1.2851563" style="0"/>
    <col min="6" max="6" customWidth="1" width="2.8554688" style="0"/>
    <col min="7" max="7" hidden="1" width="0.28515625" style="0"/>
    <col min="8" max="8" customWidth="1" width="15.855469" style="0"/>
    <col min="9" max="9" customWidth="1" width="7.5703125" style="0"/>
    <col min="10" max="10" customWidth="1" width="1.0" style="46"/>
    <col min="11" max="11" customWidth="1" width="3.7109375" style="0"/>
    <col min="12" max="12" customWidth="1" width="1.0" style="46"/>
    <col min="13" max="13" customWidth="1" width="3.140625" style="0"/>
    <col min="14" max="14" hidden="1" width="0.0" style="0"/>
    <col min="15" max="15" customWidth="1" width="10.7109375" style="0"/>
    <col min="16" max="16" customWidth="1" width="8.140625" style="0"/>
    <col min="17" max="17" customWidth="1" width="9.5703125" style="0"/>
    <col min="18" max="18" customWidth="1" width="5.5703125" style="0"/>
    <col min="257" max="16384" width="9" style="0" hidden="0"/>
  </cols>
  <sheetData>
    <row r="1" spans="8:8" ht="15.75">
      <c r="A1" s="56" t="s">
        <v>12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  <c r="N1" s="5"/>
      <c r="O1" s="59" t="s">
        <v>41</v>
      </c>
      <c r="P1" s="60"/>
      <c r="Q1" s="60"/>
      <c r="R1" s="61"/>
    </row>
    <row r="2" spans="8:8" ht="15.75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  <c r="N2" s="11"/>
      <c r="O2" s="65" t="s">
        <v>38</v>
      </c>
      <c r="P2" s="66" t="s">
        <v>75</v>
      </c>
      <c r="Q2" s="66" t="s">
        <v>39</v>
      </c>
      <c r="R2" s="67" t="s">
        <v>40</v>
      </c>
    </row>
    <row r="3" spans="8:8" s="68" ht="15.0" customFormat="1">
      <c r="A3" s="69" t="s">
        <v>17</v>
      </c>
      <c r="B3" s="70"/>
      <c r="C3" s="70"/>
      <c r="D3" s="70"/>
      <c r="E3" s="70"/>
      <c r="F3" s="71"/>
      <c r="G3" s="72"/>
      <c r="H3" s="69" t="s">
        <v>18</v>
      </c>
      <c r="I3" s="70"/>
      <c r="J3" s="70"/>
      <c r="K3" s="70"/>
      <c r="L3" s="70"/>
      <c r="M3" s="71"/>
      <c r="N3" s="72"/>
      <c r="O3" s="73" t="s">
        <v>35</v>
      </c>
      <c r="P3" s="74">
        <f>(0.5+0.8)/2</f>
        <v>0.65</v>
      </c>
      <c r="Q3" s="74">
        <f>((P3/100)*I4)*7850</f>
        <v>204.10000000000002</v>
      </c>
      <c r="R3" s="75">
        <f>Q3/1000</f>
        <v>0.20410000000000003</v>
      </c>
    </row>
    <row r="4" spans="8:8">
      <c r="A4" s="19" t="s">
        <v>13</v>
      </c>
      <c r="B4" s="20">
        <v>170.961924</v>
      </c>
      <c r="C4" s="76" t="s">
        <v>6</v>
      </c>
      <c r="D4" s="77"/>
      <c r="E4" s="77"/>
      <c r="F4" s="78"/>
      <c r="G4" s="11">
        <v>1.54</v>
      </c>
      <c r="H4" s="19" t="s">
        <v>13</v>
      </c>
      <c r="I4" s="79">
        <v>4.0</v>
      </c>
      <c r="J4" s="76" t="s">
        <v>14</v>
      </c>
      <c r="K4" s="77"/>
      <c r="L4" s="77"/>
      <c r="M4" s="78"/>
      <c r="N4" s="11">
        <v>1.54</v>
      </c>
      <c r="O4" s="19" t="s">
        <v>36</v>
      </c>
      <c r="P4" s="80">
        <f>(1+4)/2</f>
        <v>2.5</v>
      </c>
      <c r="Q4" s="80">
        <f>((P4/100)*I4)*7850</f>
        <v>785.0</v>
      </c>
      <c r="R4" s="81">
        <f>Q4/1000</f>
        <v>0.785</v>
      </c>
    </row>
    <row r="5" spans="8:8">
      <c r="A5" s="19" t="s">
        <v>2</v>
      </c>
      <c r="B5" s="27">
        <v>1.0</v>
      </c>
      <c r="C5" s="28" t="s">
        <v>15</v>
      </c>
      <c r="D5" s="82">
        <v>2.0</v>
      </c>
      <c r="E5" s="83" t="s">
        <v>15</v>
      </c>
      <c r="F5" s="84">
        <v>4.0</v>
      </c>
      <c r="G5" s="11">
        <f>B5+D5+F5</f>
        <v>7.0</v>
      </c>
      <c r="H5" s="19" t="s">
        <v>2</v>
      </c>
      <c r="I5" s="27">
        <v>1.0</v>
      </c>
      <c r="J5" s="28" t="s">
        <v>15</v>
      </c>
      <c r="K5" s="85">
        <v>1.5</v>
      </c>
      <c r="L5" s="86" t="s">
        <v>15</v>
      </c>
      <c r="M5" s="84">
        <v>3.0</v>
      </c>
      <c r="N5" s="11">
        <f>I5+K5+M5</f>
        <v>5.5</v>
      </c>
      <c r="O5" s="19" t="s">
        <v>42</v>
      </c>
      <c r="P5" s="80">
        <f>(0.7+1)/2</f>
        <v>0.85</v>
      </c>
      <c r="Q5" s="80">
        <f>((P5/100)*I4)*7850</f>
        <v>266.90000000000003</v>
      </c>
      <c r="R5" s="81">
        <f>Q5/1000</f>
        <v>0.2669</v>
      </c>
    </row>
    <row r="6" spans="8:8" ht="15.75">
      <c r="A6" s="19" t="s">
        <v>4</v>
      </c>
      <c r="B6" s="87">
        <f>((B5/G5)*G7)/1.25</f>
        <v>30.089298624</v>
      </c>
      <c r="C6" s="88" t="s">
        <v>8</v>
      </c>
      <c r="D6" s="89"/>
      <c r="E6" s="89"/>
      <c r="F6" s="90"/>
      <c r="G6" s="11"/>
      <c r="H6" s="19" t="s">
        <v>4</v>
      </c>
      <c r="I6" s="87">
        <f>((I5/N5)*N7)/0.035</f>
        <v>32.0</v>
      </c>
      <c r="J6" s="88" t="s">
        <v>8</v>
      </c>
      <c r="K6" s="89"/>
      <c r="L6" s="89"/>
      <c r="M6" s="90"/>
      <c r="N6" s="11"/>
      <c r="O6" s="91" t="s">
        <v>37</v>
      </c>
      <c r="P6" s="92">
        <f>(1+2)/2</f>
        <v>1.5</v>
      </c>
      <c r="Q6" s="92">
        <f>((P6/100)*I4)*7850</f>
        <v>471.0</v>
      </c>
      <c r="R6" s="93">
        <f>Q6/1000</f>
        <v>0.471</v>
      </c>
    </row>
    <row r="7" spans="8:8" ht="15.75">
      <c r="A7" s="19" t="s">
        <v>5</v>
      </c>
      <c r="B7" s="87">
        <f>(D5/G5)*G7</f>
        <v>75.22324656</v>
      </c>
      <c r="C7" s="94" t="s">
        <v>6</v>
      </c>
      <c r="D7" s="95"/>
      <c r="E7" s="95"/>
      <c r="F7" s="96"/>
      <c r="G7" s="11">
        <f>B4*G4</f>
        <v>263.28136296</v>
      </c>
      <c r="H7" s="19" t="s">
        <v>5</v>
      </c>
      <c r="I7" s="87">
        <f>(K5/N5)*N7</f>
        <v>1.68</v>
      </c>
      <c r="J7" s="94" t="s">
        <v>14</v>
      </c>
      <c r="K7" s="95"/>
      <c r="L7" s="95"/>
      <c r="M7" s="96"/>
      <c r="N7" s="11">
        <f>I4*N4</f>
        <v>6.16</v>
      </c>
      <c r="O7" s="59" t="s">
        <v>43</v>
      </c>
      <c r="P7" s="60"/>
      <c r="Q7" s="60"/>
      <c r="R7" s="61"/>
    </row>
    <row r="8" spans="8:8" ht="15.75">
      <c r="A8" s="32" t="s">
        <v>16</v>
      </c>
      <c r="B8" s="33">
        <f>(F5/G5)*G7</f>
        <v>150.44649312</v>
      </c>
      <c r="C8" s="97" t="s">
        <v>6</v>
      </c>
      <c r="D8" s="98"/>
      <c r="E8" s="98"/>
      <c r="F8" s="99"/>
      <c r="G8" s="36"/>
      <c r="H8" s="32" t="s">
        <v>16</v>
      </c>
      <c r="I8" s="33">
        <f>(M5/N5)*N7</f>
        <v>3.36</v>
      </c>
      <c r="J8" s="97" t="s">
        <v>14</v>
      </c>
      <c r="K8" s="98"/>
      <c r="L8" s="98"/>
      <c r="M8" s="99"/>
      <c r="N8" s="11"/>
      <c r="O8" s="100" t="s">
        <v>38</v>
      </c>
      <c r="P8" s="66" t="s">
        <v>75</v>
      </c>
      <c r="Q8" s="101" t="s">
        <v>39</v>
      </c>
      <c r="R8" s="102" t="s">
        <v>40</v>
      </c>
    </row>
    <row r="9" spans="8:8">
      <c r="A9" s="103"/>
      <c r="B9" s="45"/>
      <c r="C9" s="45"/>
      <c r="D9" s="11"/>
      <c r="E9" s="11"/>
      <c r="F9" s="11"/>
      <c r="G9" s="11"/>
      <c r="H9" s="11"/>
      <c r="I9" s="11"/>
      <c r="J9" s="45"/>
      <c r="K9" s="11"/>
      <c r="L9" s="45"/>
      <c r="M9" s="11"/>
      <c r="N9" s="11"/>
      <c r="O9" s="73" t="s">
        <v>35</v>
      </c>
      <c r="P9" s="74">
        <f>(0.5+0.8)/2</f>
        <v>0.65</v>
      </c>
      <c r="Q9" s="74">
        <f>(((P9/100)*B4)*490)/2.204</f>
        <v>247.0570453448276</v>
      </c>
      <c r="R9" s="75">
        <f>Q9/1000</f>
        <v>0.24705704534482759</v>
      </c>
    </row>
    <row r="10" spans="8:8">
      <c r="A10" s="103"/>
      <c r="B10" s="45"/>
      <c r="C10" s="45"/>
      <c r="D10" s="11"/>
      <c r="E10" s="11"/>
      <c r="F10" s="11"/>
      <c r="G10" s="11"/>
      <c r="H10" s="11"/>
      <c r="I10" s="11"/>
      <c r="J10" s="45"/>
      <c r="K10" s="11"/>
      <c r="L10" s="45"/>
      <c r="M10" s="11"/>
      <c r="N10" s="11"/>
      <c r="O10" s="19" t="s">
        <v>36</v>
      </c>
      <c r="P10" s="80">
        <f>(1+4)/2</f>
        <v>2.5</v>
      </c>
      <c r="Q10" s="80">
        <f>(((P10/100)*B4)*490)/2.204</f>
        <v>950.2194051724138</v>
      </c>
      <c r="R10" s="75">
        <f>Q10/1000</f>
        <v>0.9502194051724138</v>
      </c>
    </row>
    <row r="11" spans="8:8">
      <c r="A11" s="103"/>
      <c r="B11" s="45"/>
      <c r="C11" s="45"/>
      <c r="D11" s="11"/>
      <c r="E11" s="11"/>
      <c r="F11" s="11"/>
      <c r="G11" s="11"/>
      <c r="H11" s="11"/>
      <c r="I11" s="11"/>
      <c r="J11" s="45"/>
      <c r="K11" s="11"/>
      <c r="L11" s="45"/>
      <c r="M11" s="11"/>
      <c r="N11" s="11"/>
      <c r="O11" s="19" t="s">
        <v>42</v>
      </c>
      <c r="P11" s="80">
        <f>(0.7+1)/2</f>
        <v>0.85</v>
      </c>
      <c r="Q11" s="80">
        <f>(((P11/100)*B4)*490)/2.204</f>
        <v>323.0745977586207</v>
      </c>
      <c r="R11" s="75">
        <f>Q11/1000</f>
        <v>0.3230745977586207</v>
      </c>
    </row>
    <row r="12" spans="8:8" ht="15.75">
      <c r="A12" s="104"/>
      <c r="B12" s="52"/>
      <c r="C12" s="52"/>
      <c r="D12" s="36"/>
      <c r="E12" s="36"/>
      <c r="F12" s="36"/>
      <c r="G12" s="36"/>
      <c r="H12" s="36"/>
      <c r="I12" s="36"/>
      <c r="J12" s="52"/>
      <c r="K12" s="36"/>
      <c r="L12" s="52"/>
      <c r="M12" s="36"/>
      <c r="N12" s="36"/>
      <c r="O12" s="32" t="s">
        <v>37</v>
      </c>
      <c r="P12" s="105">
        <f>(1+2)/2</f>
        <v>1.5</v>
      </c>
      <c r="Q12" s="105">
        <f>(((P12/100)*B4)*490)/2.204</f>
        <v>570.1316431034483</v>
      </c>
      <c r="R12" s="106">
        <f>Q12/1000</f>
        <v>0.5701316431034482</v>
      </c>
    </row>
  </sheetData>
  <mergeCells count="13">
    <mergeCell ref="O1:R1"/>
    <mergeCell ref="O7:R7"/>
    <mergeCell ref="J6:M6"/>
    <mergeCell ref="J7:M7"/>
    <mergeCell ref="J8:M8"/>
    <mergeCell ref="H3:M3"/>
    <mergeCell ref="J4:M4"/>
    <mergeCell ref="A1:M2"/>
    <mergeCell ref="C6:F6"/>
    <mergeCell ref="C7:F7"/>
    <mergeCell ref="C8:F8"/>
    <mergeCell ref="A3:F3"/>
    <mergeCell ref="C4:F4"/>
  </mergeCells>
  <pageMargins left="0.7" right="0.7" top="0.75" bottom="0.75" header="0.3" footer="0.3"/>
  <pageSetup paperSize="9" scale="114" orientation="landscape"/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dimension ref="A1:O9"/>
  <sheetViews>
    <sheetView workbookViewId="0" zoomScale="205">
      <selection activeCell="F11" sqref="F11"/>
    </sheetView>
  </sheetViews>
  <sheetFormatPr defaultRowHeight="15.0"/>
  <cols>
    <col min="1" max="1" customWidth="1" width="11.0" style="0"/>
    <col min="2" max="2" customWidth="1" width="5.8554688" style="0"/>
    <col min="3" max="3" customWidth="1" width="1.2851563" style="0"/>
    <col min="4" max="4" customWidth="1" width="3.140625" style="0"/>
    <col min="5" max="5" hidden="1" width="0.0" style="0"/>
    <col min="6" max="6" customWidth="1" width="11.285156" style="0"/>
    <col min="7" max="7" customWidth="1" width="6.0" style="0"/>
    <col min="8" max="8" customWidth="1" width="1.140625" style="0"/>
    <col min="9" max="9" customWidth="1" width="3.7109375" style="0"/>
    <col min="10" max="10" hidden="1" width="9.0" style="0"/>
    <col min="11" max="11" customWidth="1" width="11.5703125" style="0"/>
    <col min="12" max="12" customWidth="1" width="7.5703125" style="0"/>
    <col min="13" max="13" customWidth="1" width="3.0" style="0"/>
    <col min="14" max="14" customWidth="1" width="11.7109375" style="0"/>
    <col min="15" max="15" customWidth="1" width="7.140625" style="0"/>
    <col min="16" max="16" customWidth="1" width="5.2851563" style="0"/>
    <col min="257" max="16384" width="9" style="0" hidden="0"/>
  </cols>
  <sheetData>
    <row r="1" spans="8:8" ht="14.25" customHeight="1">
      <c r="A1" s="56" t="s">
        <v>19</v>
      </c>
      <c r="B1" s="57"/>
      <c r="C1" s="57"/>
      <c r="D1" s="57"/>
      <c r="E1" s="57"/>
      <c r="F1" s="57"/>
      <c r="G1" s="57"/>
      <c r="H1" s="57"/>
      <c r="I1" s="57"/>
      <c r="J1" s="58"/>
      <c r="K1" s="107"/>
      <c r="L1" s="5"/>
      <c r="M1" s="5"/>
      <c r="N1" s="6"/>
    </row>
    <row r="2" spans="8:8" ht="15.0" customHeight="1">
      <c r="A2" s="62"/>
      <c r="B2" s="63"/>
      <c r="C2" s="63"/>
      <c r="D2" s="63"/>
      <c r="E2" s="63"/>
      <c r="F2" s="63"/>
      <c r="G2" s="63"/>
      <c r="H2" s="63"/>
      <c r="I2" s="63"/>
      <c r="J2" s="64"/>
      <c r="K2" s="103"/>
      <c r="L2" s="11"/>
      <c r="M2" s="11"/>
      <c r="N2" s="12"/>
    </row>
    <row r="3" spans="8:8" ht="15.75">
      <c r="A3" s="108" t="s">
        <v>20</v>
      </c>
      <c r="B3" s="109"/>
      <c r="C3" s="109"/>
      <c r="D3" s="109"/>
      <c r="E3" s="110"/>
      <c r="F3" s="108" t="s">
        <v>21</v>
      </c>
      <c r="G3" s="109"/>
      <c r="H3" s="109"/>
      <c r="I3" s="109"/>
      <c r="J3" s="110"/>
      <c r="K3" s="103"/>
      <c r="L3" s="11"/>
      <c r="M3" s="11"/>
      <c r="N3" s="12"/>
    </row>
    <row r="4" spans="8:8">
      <c r="A4" s="73" t="s">
        <v>22</v>
      </c>
      <c r="B4" s="111">
        <v>50.0</v>
      </c>
      <c r="C4" s="112" t="s">
        <v>24</v>
      </c>
      <c r="D4" s="112"/>
      <c r="E4" s="113"/>
      <c r="F4" s="73" t="s">
        <v>22</v>
      </c>
      <c r="G4" s="111">
        <v>250.0</v>
      </c>
      <c r="H4" s="112" t="s">
        <v>27</v>
      </c>
      <c r="I4" s="112"/>
      <c r="J4" s="113"/>
      <c r="K4" s="103"/>
      <c r="L4" s="11"/>
      <c r="M4" s="11"/>
      <c r="N4" s="12"/>
    </row>
    <row r="5" spans="8:8">
      <c r="A5" s="114" t="s">
        <v>23</v>
      </c>
      <c r="B5" s="20">
        <v>0.75</v>
      </c>
      <c r="C5" s="115" t="s">
        <v>25</v>
      </c>
      <c r="D5" s="115"/>
      <c r="E5" s="116">
        <f>B5/12</f>
        <v>0.0625</v>
      </c>
      <c r="F5" s="114" t="s">
        <v>23</v>
      </c>
      <c r="G5" s="20">
        <v>12.5</v>
      </c>
      <c r="H5" s="115" t="s">
        <v>28</v>
      </c>
      <c r="I5" s="115"/>
      <c r="J5" s="116">
        <f>G5/1000</f>
        <v>0.0125</v>
      </c>
      <c r="K5" s="103"/>
      <c r="L5" s="11"/>
      <c r="M5" s="11"/>
      <c r="N5" s="12"/>
    </row>
    <row r="6" spans="8:8" ht="15.0" hidden="1">
      <c r="A6" s="114" t="s">
        <v>26</v>
      </c>
      <c r="B6" s="25">
        <f>B4*E5</f>
        <v>3.125</v>
      </c>
      <c r="C6" s="115" t="s">
        <v>6</v>
      </c>
      <c r="D6" s="115"/>
      <c r="E6" s="116">
        <f>B6*1.27</f>
        <v>3.96875</v>
      </c>
      <c r="F6" s="114" t="s">
        <v>26</v>
      </c>
      <c r="G6" s="25">
        <f>G4*J5</f>
        <v>3.125</v>
      </c>
      <c r="H6" s="112" t="s">
        <v>14</v>
      </c>
      <c r="I6" s="112"/>
      <c r="J6" s="116">
        <f>G6*1.27</f>
        <v>3.96875</v>
      </c>
      <c r="K6" s="103"/>
      <c r="L6" s="11"/>
      <c r="M6" s="11"/>
      <c r="N6" s="12"/>
    </row>
    <row r="7" spans="8:8">
      <c r="A7" s="19" t="s">
        <v>2</v>
      </c>
      <c r="B7" s="27">
        <v>1.0</v>
      </c>
      <c r="C7" s="28" t="s">
        <v>15</v>
      </c>
      <c r="D7" s="117">
        <v>4.0</v>
      </c>
      <c r="E7" s="118">
        <f>B7+D7</f>
        <v>5.0</v>
      </c>
      <c r="F7" s="19" t="s">
        <v>2</v>
      </c>
      <c r="G7" s="27">
        <v>1.0</v>
      </c>
      <c r="H7" s="28" t="s">
        <v>15</v>
      </c>
      <c r="I7" s="117">
        <v>4.0</v>
      </c>
      <c r="J7" s="118">
        <f>G7+I7</f>
        <v>5.0</v>
      </c>
      <c r="K7" s="103"/>
      <c r="L7" s="11"/>
      <c r="M7" s="11"/>
      <c r="N7" s="12"/>
    </row>
    <row r="8" spans="8:8">
      <c r="A8" s="19" t="s">
        <v>4</v>
      </c>
      <c r="B8" s="25">
        <f>((B7/E7)*E6)/1.25</f>
        <v>0.635</v>
      </c>
      <c r="C8" s="119" t="s">
        <v>8</v>
      </c>
      <c r="D8" s="119"/>
      <c r="E8" s="120"/>
      <c r="F8" s="19" t="s">
        <v>4</v>
      </c>
      <c r="G8" s="25">
        <f>((G7/J7)*J6)/0.035</f>
        <v>22.678571428571427</v>
      </c>
      <c r="H8" s="119" t="s">
        <v>8</v>
      </c>
      <c r="I8" s="121"/>
      <c r="J8" s="122"/>
      <c r="K8" s="11"/>
      <c r="L8" s="11"/>
      <c r="M8" s="11"/>
      <c r="N8" s="12"/>
    </row>
    <row r="9" spans="8:8" ht="15.75">
      <c r="A9" s="32" t="s">
        <v>5</v>
      </c>
      <c r="B9" s="33">
        <f>(D7/E7)*E6</f>
        <v>3.1750000000000003</v>
      </c>
      <c r="C9" s="123" t="s">
        <v>6</v>
      </c>
      <c r="D9" s="123"/>
      <c r="E9" s="124"/>
      <c r="F9" s="32" t="s">
        <v>5</v>
      </c>
      <c r="G9" s="33">
        <f>(I7/J7)*J6</f>
        <v>3.1750000000000003</v>
      </c>
      <c r="H9" s="123" t="s">
        <v>14</v>
      </c>
      <c r="I9" s="125"/>
      <c r="J9" s="126"/>
      <c r="K9" s="36"/>
      <c r="L9" s="36"/>
      <c r="M9" s="36"/>
      <c r="N9" s="37"/>
    </row>
  </sheetData>
  <mergeCells count="13">
    <mergeCell ref="A1:J2"/>
    <mergeCell ref="C4:D4"/>
    <mergeCell ref="C5:D5"/>
    <mergeCell ref="C6:D6"/>
    <mergeCell ref="H4:I4"/>
    <mergeCell ref="H5:I5"/>
    <mergeCell ref="H6:I6"/>
    <mergeCell ref="A3:E3"/>
    <mergeCell ref="F3:J3"/>
    <mergeCell ref="H9:I9"/>
    <mergeCell ref="C8:D8"/>
    <mergeCell ref="C9:D9"/>
    <mergeCell ref="H8:I8"/>
  </mergeCells>
  <pageMargins left="0.7" right="0.7" top="0.75" bottom="0.75" header="0.3" footer="0.3"/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dimension ref="A1:J6"/>
  <sheetViews>
    <sheetView workbookViewId="0" topLeftCell="A3">
      <selection activeCell="B5" sqref="B5"/>
    </sheetView>
  </sheetViews>
  <sheetFormatPr defaultRowHeight="15.0"/>
  <cols>
    <col min="1" max="1" customWidth="1" width="11.855469" style="0"/>
    <col min="2" max="2" customWidth="1" width="7.2851563" style="0"/>
    <col min="3" max="3" customWidth="1" width="3.140625" style="0"/>
    <col min="4" max="4" customWidth="1" width="11.7109375" style="0"/>
    <col min="5" max="5" customWidth="1" width="7.4257813" style="0"/>
    <col min="6" max="6" customWidth="1" width="5.0" style="0"/>
    <col min="257" max="16384" width="9" style="0" hidden="0"/>
  </cols>
  <sheetData>
    <row r="1" spans="8:8" ht="15.0" customHeight="1">
      <c r="A1" s="56" t="s">
        <v>29</v>
      </c>
      <c r="B1" s="57"/>
      <c r="C1" s="57"/>
      <c r="D1" s="57"/>
      <c r="E1" s="57"/>
      <c r="F1" s="58"/>
      <c r="G1" s="5"/>
      <c r="H1" s="5"/>
      <c r="I1" s="6"/>
    </row>
    <row r="2" spans="8:8" ht="15.75" customHeight="1">
      <c r="A2" s="62"/>
      <c r="B2" s="63"/>
      <c r="C2" s="63"/>
      <c r="D2" s="63"/>
      <c r="E2" s="63"/>
      <c r="F2" s="64"/>
      <c r="G2" s="11"/>
      <c r="H2" s="11"/>
      <c r="I2" s="12"/>
    </row>
    <row r="3" spans="8:8" ht="15.75">
      <c r="A3" s="108" t="s">
        <v>30</v>
      </c>
      <c r="B3" s="109"/>
      <c r="C3" s="110"/>
      <c r="D3" s="108" t="s">
        <v>34</v>
      </c>
      <c r="E3" s="109"/>
      <c r="F3" s="110"/>
      <c r="G3" s="11"/>
      <c r="H3" s="11"/>
      <c r="I3" s="12"/>
    </row>
    <row r="4" spans="8:8" ht="15.0">
      <c r="A4" s="73" t="s">
        <v>31</v>
      </c>
      <c r="B4" s="111">
        <v>1.0</v>
      </c>
      <c r="C4" s="127" t="s">
        <v>24</v>
      </c>
      <c r="D4" s="73" t="s">
        <v>31</v>
      </c>
      <c r="E4" s="111">
        <v>50.0</v>
      </c>
      <c r="F4" s="127" t="s">
        <v>27</v>
      </c>
      <c r="G4" s="11"/>
      <c r="H4" s="11"/>
      <c r="I4" s="12"/>
    </row>
    <row r="5" spans="8:8" ht="15.75">
      <c r="A5" s="114" t="s">
        <v>32</v>
      </c>
      <c r="B5" s="20">
        <f>2*1</f>
        <v>2.0</v>
      </c>
      <c r="C5" s="127" t="s">
        <v>24</v>
      </c>
      <c r="D5" s="114" t="s">
        <v>32</v>
      </c>
      <c r="E5" s="79">
        <f>0.305*0.61</f>
        <v>0.18605</v>
      </c>
      <c r="F5" s="127" t="s">
        <v>27</v>
      </c>
      <c r="G5" s="11"/>
      <c r="H5" s="11"/>
      <c r="I5" s="12"/>
    </row>
    <row r="6" spans="8:8" ht="15.75">
      <c r="A6" s="128" t="s">
        <v>33</v>
      </c>
      <c r="B6" s="33">
        <f>B4/B5</f>
        <v>0.5</v>
      </c>
      <c r="C6" s="129" t="s">
        <v>7</v>
      </c>
      <c r="D6" s="128" t="s">
        <v>33</v>
      </c>
      <c r="E6" s="33">
        <f>E4/E5</f>
        <v>268.74496103198067</v>
      </c>
      <c r="F6" s="129" t="s">
        <v>7</v>
      </c>
      <c r="G6" s="36"/>
      <c r="H6" s="36"/>
      <c r="I6" s="37"/>
    </row>
  </sheetData>
  <mergeCells count="3">
    <mergeCell ref="D3:F3"/>
    <mergeCell ref="A3:C3"/>
    <mergeCell ref="A1:F2"/>
  </mergeCells>
  <pageMargins left="0.7" right="0.7" top="0.75" bottom="0.75" header="0.3" footer="0.3"/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dimension ref="A1:O38"/>
  <sheetViews>
    <sheetView workbookViewId="0" topLeftCell="C1" zoomScale="90">
      <selection activeCell="K46" sqref="K46"/>
    </sheetView>
  </sheetViews>
  <sheetFormatPr defaultRowHeight="15.0"/>
  <cols>
    <col min="2" max="2" customWidth="1" width="11.285156" style="0"/>
    <col min="3" max="3" customWidth="1" width="11.425781" style="0"/>
    <col min="4" max="4" customWidth="1" width="12.855469" style="0"/>
    <col min="5" max="5" customWidth="1" width="7.140625" style="0"/>
    <col min="6" max="6" customWidth="1" width="10.140625" style="0"/>
    <col min="7" max="7" customWidth="1" width="7.4257813" style="0"/>
    <col min="8" max="8" customWidth="1" width="10.5703125" style="0"/>
    <col min="9" max="9" customWidth="1" width="7.8554688" style="0"/>
    <col min="11" max="11" customWidth="1" width="7.8554688" style="0"/>
    <col min="12" max="12" customWidth="1" width="11.425781" style="0"/>
    <col min="14" max="14" customWidth="1" width="10.140625" style="0"/>
    <col min="257" max="16384" width="9" style="0" hidden="0"/>
  </cols>
  <sheetData>
    <row r="1" spans="8:8" ht="33.75" customHeight="1">
      <c r="A1" s="130" t="s">
        <v>44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2"/>
    </row>
    <row r="2" spans="8:8" s="133" ht="15.75" customFormat="1">
      <c r="A2" s="134" t="s">
        <v>77</v>
      </c>
      <c r="B2" s="135"/>
      <c r="C2" s="135"/>
      <c r="D2" s="136"/>
      <c r="E2" s="134" t="s">
        <v>78</v>
      </c>
      <c r="F2" s="135"/>
      <c r="G2" s="135"/>
      <c r="H2" s="136"/>
      <c r="I2" s="134" t="s">
        <v>26</v>
      </c>
      <c r="J2" s="135"/>
      <c r="K2" s="135"/>
      <c r="L2" s="136"/>
      <c r="M2" s="134" t="s">
        <v>98</v>
      </c>
      <c r="N2" s="136"/>
    </row>
    <row r="3" spans="8:8" s="133" ht="15.75" customFormat="1">
      <c r="A3" s="134" t="s">
        <v>45</v>
      </c>
      <c r="B3" s="136"/>
      <c r="C3" s="134" t="s">
        <v>48</v>
      </c>
      <c r="D3" s="136"/>
      <c r="E3" s="134" t="s">
        <v>76</v>
      </c>
      <c r="F3" s="136"/>
      <c r="G3" s="134" t="s">
        <v>84</v>
      </c>
      <c r="H3" s="136"/>
      <c r="I3" s="134" t="s">
        <v>87</v>
      </c>
      <c r="J3" s="136"/>
      <c r="K3" s="134" t="s">
        <v>94</v>
      </c>
      <c r="L3" s="136"/>
      <c r="M3" s="134" t="s">
        <v>99</v>
      </c>
      <c r="N3" s="136"/>
    </row>
    <row r="4" spans="8:8">
      <c r="A4" s="137" t="s">
        <v>46</v>
      </c>
      <c r="B4" s="138" t="s">
        <v>47</v>
      </c>
      <c r="C4" s="137" t="s">
        <v>47</v>
      </c>
      <c r="D4" s="139" t="s">
        <v>46</v>
      </c>
      <c r="E4" s="137" t="s">
        <v>24</v>
      </c>
      <c r="F4" s="139" t="s">
        <v>27</v>
      </c>
      <c r="G4" s="140" t="s">
        <v>27</v>
      </c>
      <c r="H4" s="139" t="s">
        <v>24</v>
      </c>
      <c r="I4" s="137" t="s">
        <v>6</v>
      </c>
      <c r="J4" s="139" t="s">
        <v>14</v>
      </c>
      <c r="K4" s="140" t="s">
        <v>14</v>
      </c>
      <c r="L4" s="139" t="s">
        <v>93</v>
      </c>
      <c r="M4" s="137" t="s">
        <v>100</v>
      </c>
      <c r="N4" s="139" t="s">
        <v>101</v>
      </c>
    </row>
    <row r="5" spans="8:8" ht="15.75">
      <c r="A5" s="141">
        <v>1.0</v>
      </c>
      <c r="B5" s="142">
        <f>A5/3.28084</f>
        <v>0.3047999902464003</v>
      </c>
      <c r="C5" s="141">
        <v>1.0</v>
      </c>
      <c r="D5" s="142">
        <f>C5*3.28084</f>
        <v>3.28084</v>
      </c>
      <c r="E5" s="141">
        <v>1.0</v>
      </c>
      <c r="F5" s="142">
        <f>E5*0.092903</f>
        <v>0.092903</v>
      </c>
      <c r="G5" s="141">
        <v>1.0</v>
      </c>
      <c r="H5" s="142">
        <f>G5*10.7639</f>
        <v>10.7639</v>
      </c>
      <c r="I5" s="141">
        <v>1.0</v>
      </c>
      <c r="J5" s="142">
        <f>I5*0.0283168</f>
        <v>0.0283168</v>
      </c>
      <c r="K5" s="141">
        <v>1.0</v>
      </c>
      <c r="L5" s="142">
        <f>K5*35.3147</f>
        <v>35.3147</v>
      </c>
      <c r="M5" s="141">
        <v>1.0</v>
      </c>
      <c r="N5" s="142">
        <f>M5*0.453592</f>
        <v>0.453592</v>
      </c>
    </row>
    <row r="6" spans="8:8" s="133" ht="15.75" customFormat="1">
      <c r="A6" s="134" t="s">
        <v>51</v>
      </c>
      <c r="B6" s="136"/>
      <c r="C6" s="134" t="s">
        <v>57</v>
      </c>
      <c r="D6" s="136"/>
      <c r="E6" s="134" t="s">
        <v>79</v>
      </c>
      <c r="F6" s="136"/>
      <c r="G6" s="134" t="s">
        <v>85</v>
      </c>
      <c r="H6" s="136"/>
      <c r="I6" s="134" t="s">
        <v>88</v>
      </c>
      <c r="J6" s="136"/>
      <c r="K6" s="134" t="s">
        <v>95</v>
      </c>
      <c r="L6" s="136"/>
      <c r="M6" s="134" t="s">
        <v>102</v>
      </c>
      <c r="N6" s="136"/>
    </row>
    <row r="7" spans="8:8">
      <c r="A7" s="137" t="s">
        <v>46</v>
      </c>
      <c r="B7" s="138" t="s">
        <v>50</v>
      </c>
      <c r="C7" s="137" t="s">
        <v>47</v>
      </c>
      <c r="D7" s="139" t="s">
        <v>25</v>
      </c>
      <c r="E7" s="137" t="s">
        <v>80</v>
      </c>
      <c r="F7" s="139" t="s">
        <v>81</v>
      </c>
      <c r="G7" s="137" t="s">
        <v>81</v>
      </c>
      <c r="H7" s="139" t="s">
        <v>80</v>
      </c>
      <c r="I7" s="137" t="s">
        <v>89</v>
      </c>
      <c r="J7" s="139" t="s">
        <v>90</v>
      </c>
      <c r="K7" s="137" t="s">
        <v>90</v>
      </c>
      <c r="L7" s="139" t="s">
        <v>89</v>
      </c>
      <c r="M7" s="137" t="s">
        <v>101</v>
      </c>
      <c r="N7" s="139" t="s">
        <v>100</v>
      </c>
    </row>
    <row r="8" spans="8:8" ht="15.75">
      <c r="A8" s="141">
        <v>1.0</v>
      </c>
      <c r="B8" s="142">
        <f>A8*30.48</f>
        <v>30.48</v>
      </c>
      <c r="C8" s="141">
        <v>1.0</v>
      </c>
      <c r="D8" s="142">
        <f>39.3701*C8</f>
        <v>39.3701</v>
      </c>
      <c r="E8" s="141">
        <v>1.0</v>
      </c>
      <c r="F8" s="142">
        <f>E8*0.00064516</f>
        <v>6.4516E-4</v>
      </c>
      <c r="G8" s="141">
        <v>1.0</v>
      </c>
      <c r="H8" s="142">
        <f>G8*0.155</f>
        <v>0.155</v>
      </c>
      <c r="I8" s="141">
        <v>1.0</v>
      </c>
      <c r="J8" s="142">
        <f>I8*16.3871</f>
        <v>16.3871</v>
      </c>
      <c r="K8" s="141">
        <v>1.0</v>
      </c>
      <c r="L8" s="142">
        <f>K8*61023.7</f>
        <v>61023.7</v>
      </c>
      <c r="M8" s="141">
        <v>1.0</v>
      </c>
      <c r="N8" s="142">
        <f>M8*2.20462</f>
        <v>2.20462</v>
      </c>
    </row>
    <row r="9" spans="8:8" s="133" ht="15.75" customFormat="1">
      <c r="A9" s="134" t="s">
        <v>52</v>
      </c>
      <c r="B9" s="136"/>
      <c r="C9" s="134" t="s">
        <v>58</v>
      </c>
      <c r="D9" s="136"/>
      <c r="E9" s="134" t="s">
        <v>82</v>
      </c>
      <c r="F9" s="136"/>
      <c r="G9" s="134" t="s">
        <v>86</v>
      </c>
      <c r="H9" s="136"/>
      <c r="I9" s="134" t="s">
        <v>91</v>
      </c>
      <c r="J9" s="136"/>
      <c r="K9" s="134" t="s">
        <v>96</v>
      </c>
      <c r="L9" s="136"/>
      <c r="M9" s="134" t="s">
        <v>103</v>
      </c>
      <c r="N9" s="136"/>
    </row>
    <row r="10" spans="8:8">
      <c r="A10" s="137" t="s">
        <v>46</v>
      </c>
      <c r="B10" s="138" t="s">
        <v>53</v>
      </c>
      <c r="C10" s="137" t="s">
        <v>47</v>
      </c>
      <c r="D10" s="139" t="s">
        <v>50</v>
      </c>
      <c r="E10" s="137" t="s">
        <v>80</v>
      </c>
      <c r="F10" s="139" t="s">
        <v>83</v>
      </c>
      <c r="G10" s="137" t="s">
        <v>83</v>
      </c>
      <c r="H10" s="139" t="s">
        <v>80</v>
      </c>
      <c r="I10" s="143" t="s">
        <v>89</v>
      </c>
      <c r="J10" s="144" t="s">
        <v>92</v>
      </c>
      <c r="K10" s="143" t="s">
        <v>92</v>
      </c>
      <c r="L10" s="144" t="s">
        <v>89</v>
      </c>
      <c r="M10" s="145" t="s">
        <v>101</v>
      </c>
      <c r="N10" s="146" t="s">
        <v>40</v>
      </c>
    </row>
    <row r="11" spans="8:8" ht="15.75">
      <c r="A11" s="141">
        <v>1.0</v>
      </c>
      <c r="B11" s="142">
        <f>A11*304.8</f>
        <v>304.8</v>
      </c>
      <c r="C11" s="141">
        <v>1.0</v>
      </c>
      <c r="D11" s="142">
        <f>100*C11</f>
        <v>100.0</v>
      </c>
      <c r="E11" s="141">
        <v>1.0</v>
      </c>
      <c r="F11" s="142">
        <f>E11*645.16</f>
        <v>645.16</v>
      </c>
      <c r="G11" s="141">
        <v>1.0</v>
      </c>
      <c r="H11" s="142">
        <f>G11*0.00155</f>
        <v>0.00155</v>
      </c>
      <c r="I11" s="147">
        <v>1.0</v>
      </c>
      <c r="J11" s="148">
        <f>I11*0.000061024</f>
        <v>6.1024E-5</v>
      </c>
      <c r="K11" s="147">
        <v>1.0</v>
      </c>
      <c r="L11" s="148">
        <f>K11*0.0000610237</f>
        <v>6.10237E-5</v>
      </c>
      <c r="M11" s="149">
        <v>1.0</v>
      </c>
      <c r="N11" s="150">
        <f>M11/1000</f>
        <v>0.001</v>
      </c>
    </row>
    <row r="12" spans="8:8" s="133" ht="15.75" customFormat="1">
      <c r="A12" s="134" t="s">
        <v>49</v>
      </c>
      <c r="B12" s="136"/>
      <c r="C12" s="134" t="s">
        <v>59</v>
      </c>
      <c r="D12" s="136"/>
      <c r="E12" s="151"/>
      <c r="F12" s="152"/>
      <c r="G12" s="152"/>
      <c r="M12" s="134" t="s">
        <v>104</v>
      </c>
      <c r="N12" s="136"/>
    </row>
    <row r="13" spans="8:8">
      <c r="A13" s="137" t="s">
        <v>25</v>
      </c>
      <c r="B13" s="138" t="s">
        <v>50</v>
      </c>
      <c r="C13" s="137" t="s">
        <v>47</v>
      </c>
      <c r="D13" s="153" t="s">
        <v>53</v>
      </c>
      <c r="E13" s="154"/>
      <c r="F13" s="155"/>
      <c r="G13" s="155"/>
      <c r="M13" s="156" t="s">
        <v>40</v>
      </c>
      <c r="N13" s="157" t="s">
        <v>101</v>
      </c>
    </row>
    <row r="14" spans="8:8" ht="15.75">
      <c r="A14" s="141">
        <v>1.0</v>
      </c>
      <c r="B14" s="142">
        <f>A14*2.54</f>
        <v>2.54</v>
      </c>
      <c r="C14" s="141">
        <v>1.0</v>
      </c>
      <c r="D14" s="142">
        <f>1000*C14</f>
        <v>1000.0</v>
      </c>
      <c r="E14" s="154"/>
      <c r="F14" s="155"/>
      <c r="G14" s="155"/>
      <c r="M14" s="149">
        <v>1.0</v>
      </c>
      <c r="N14" s="150">
        <f>M14*1000</f>
        <v>1000.0</v>
      </c>
    </row>
    <row r="15" spans="8:8" s="133" ht="15.75" customFormat="1">
      <c r="A15" s="134" t="s">
        <v>54</v>
      </c>
      <c r="B15" s="136"/>
      <c r="C15" s="134" t="s">
        <v>62</v>
      </c>
      <c r="D15" s="136"/>
      <c r="E15" s="154"/>
      <c r="F15" s="155"/>
      <c r="G15" s="155"/>
    </row>
    <row r="16" spans="8:8">
      <c r="A16" s="137" t="s">
        <v>25</v>
      </c>
      <c r="B16" s="138" t="s">
        <v>53</v>
      </c>
      <c r="C16" s="140" t="s">
        <v>50</v>
      </c>
      <c r="D16" s="139" t="s">
        <v>46</v>
      </c>
      <c r="E16" s="154"/>
      <c r="F16" s="155"/>
      <c r="G16" s="155"/>
    </row>
    <row r="17" spans="8:8" ht="15.75">
      <c r="A17" s="141">
        <v>1.0</v>
      </c>
      <c r="B17" s="142">
        <f>25.4*A17</f>
        <v>25.4</v>
      </c>
      <c r="C17" s="141">
        <v>1.0</v>
      </c>
      <c r="D17" s="142">
        <f>0.0328084*C17</f>
        <v>0.0328084</v>
      </c>
      <c r="E17" s="154"/>
      <c r="F17" s="155"/>
      <c r="G17" s="155"/>
    </row>
    <row r="18" spans="8:8" s="133" ht="15.75" customFormat="1">
      <c r="A18" s="134" t="s">
        <v>55</v>
      </c>
      <c r="B18" s="136"/>
      <c r="C18" s="134" t="s">
        <v>63</v>
      </c>
      <c r="D18" s="136"/>
      <c r="E18" s="154"/>
      <c r="F18" s="155"/>
      <c r="G18" s="155"/>
    </row>
    <row r="19" spans="8:8">
      <c r="A19" s="137" t="s">
        <v>56</v>
      </c>
      <c r="B19" s="138" t="s">
        <v>53</v>
      </c>
      <c r="C19" s="140" t="s">
        <v>50</v>
      </c>
      <c r="D19" s="139" t="s">
        <v>25</v>
      </c>
      <c r="E19" s="154"/>
      <c r="F19" s="155"/>
      <c r="G19" s="155"/>
    </row>
    <row r="20" spans="8:8" ht="15.75">
      <c r="A20" s="141">
        <v>1.0</v>
      </c>
      <c r="B20" s="142">
        <f>3.048*A20</f>
        <v>3.048</v>
      </c>
      <c r="C20" s="141">
        <v>1.0</v>
      </c>
      <c r="D20" s="142">
        <f>0.393701*C20</f>
        <v>0.393701</v>
      </c>
      <c r="E20" s="154"/>
      <c r="F20" s="155"/>
      <c r="G20" s="155"/>
    </row>
    <row r="21" spans="8:8" s="133" ht="15.75" customFormat="1">
      <c r="A21" s="134" t="s">
        <v>105</v>
      </c>
      <c r="B21" s="136"/>
      <c r="C21" s="134" t="s">
        <v>60</v>
      </c>
      <c r="D21" s="136"/>
      <c r="E21" s="154"/>
      <c r="F21" s="155"/>
      <c r="G21" s="155"/>
    </row>
    <row r="22" spans="8:8">
      <c r="A22" s="137" t="s">
        <v>106</v>
      </c>
      <c r="B22" s="138" t="s">
        <v>107</v>
      </c>
      <c r="C22" s="140" t="s">
        <v>50</v>
      </c>
      <c r="D22" s="139" t="s">
        <v>47</v>
      </c>
    </row>
    <row r="23" spans="8:8" ht="15.75">
      <c r="A23" s="141">
        <v>1.0</v>
      </c>
      <c r="B23" s="142">
        <f>1.60934*A23</f>
        <v>1.60934</v>
      </c>
      <c r="C23" s="141">
        <v>1.0</v>
      </c>
      <c r="D23" s="142">
        <f>0.01*C23</f>
        <v>0.01</v>
      </c>
    </row>
    <row r="24" spans="8:8" s="133" ht="15.75" customFormat="1">
      <c r="A24" s="134" t="s">
        <v>108</v>
      </c>
      <c r="B24" s="136"/>
      <c r="C24" s="134" t="s">
        <v>64</v>
      </c>
      <c r="D24" s="136"/>
    </row>
    <row r="25" spans="8:8">
      <c r="A25" s="137" t="s">
        <v>107</v>
      </c>
      <c r="B25" s="138" t="s">
        <v>106</v>
      </c>
      <c r="C25" s="140" t="s">
        <v>50</v>
      </c>
      <c r="D25" s="138" t="s">
        <v>53</v>
      </c>
    </row>
    <row r="26" spans="8:8" ht="15.75">
      <c r="A26" s="141">
        <v>1.0</v>
      </c>
      <c r="B26" s="142">
        <f>0.621371*A26</f>
        <v>0.621371</v>
      </c>
      <c r="C26" s="141">
        <v>1.0</v>
      </c>
      <c r="D26" s="142">
        <f>10*C26</f>
        <v>10.0</v>
      </c>
    </row>
    <row r="27" spans="8:8" s="133" ht="15.75" customFormat="1">
      <c r="A27" s="134" t="s">
        <v>109</v>
      </c>
      <c r="B27" s="136"/>
      <c r="C27" s="134" t="s">
        <v>65</v>
      </c>
      <c r="D27" s="136"/>
    </row>
    <row r="28" spans="8:8">
      <c r="A28" s="137" t="s">
        <v>106</v>
      </c>
      <c r="B28" s="138" t="s">
        <v>47</v>
      </c>
      <c r="C28" s="158" t="s">
        <v>53</v>
      </c>
      <c r="D28" s="159" t="s">
        <v>46</v>
      </c>
    </row>
    <row r="29" spans="8:8" ht="15.75">
      <c r="A29" s="141">
        <v>1.0</v>
      </c>
      <c r="B29" s="142">
        <f>1609.34*A29</f>
        <v>1609.34</v>
      </c>
      <c r="C29" s="160">
        <v>1.0</v>
      </c>
      <c r="D29" s="161">
        <f>0.00328084*C29</f>
        <v>0.00328084</v>
      </c>
    </row>
    <row r="30" spans="8:8" s="133" ht="15.75" customFormat="1">
      <c r="A30" s="134" t="s">
        <v>110</v>
      </c>
      <c r="B30" s="136"/>
      <c r="C30" s="134" t="s">
        <v>66</v>
      </c>
      <c r="D30" s="136"/>
    </row>
    <row r="31" spans="8:8">
      <c r="A31" s="137" t="s">
        <v>106</v>
      </c>
      <c r="B31" s="138" t="s">
        <v>46</v>
      </c>
      <c r="C31" s="158" t="s">
        <v>53</v>
      </c>
      <c r="D31" s="159" t="s">
        <v>25</v>
      </c>
    </row>
    <row r="32" spans="8:8" ht="15.75">
      <c r="A32" s="141">
        <v>1.0</v>
      </c>
      <c r="B32" s="142">
        <f>5280*A32</f>
        <v>5280.0</v>
      </c>
      <c r="C32" s="160">
        <v>1.0</v>
      </c>
      <c r="D32" s="161">
        <f>0.0393701*C32</f>
        <v>0.0393701</v>
      </c>
    </row>
    <row r="33" spans="8:8" s="133" ht="15.75" customFormat="1">
      <c r="A33" s="134" t="s">
        <v>111</v>
      </c>
      <c r="B33" s="136"/>
      <c r="C33" s="134" t="s">
        <v>61</v>
      </c>
      <c r="D33" s="136"/>
    </row>
    <row r="34" spans="8:8">
      <c r="A34" s="137" t="s">
        <v>107</v>
      </c>
      <c r="B34" s="138" t="s">
        <v>47</v>
      </c>
      <c r="C34" s="137" t="s">
        <v>53</v>
      </c>
      <c r="D34" s="153" t="s">
        <v>47</v>
      </c>
    </row>
    <row r="35" spans="8:8" ht="15.75">
      <c r="A35" s="141">
        <v>1.0</v>
      </c>
      <c r="B35" s="142">
        <f>1000*A35</f>
        <v>1000.0</v>
      </c>
      <c r="C35" s="141">
        <v>1.0</v>
      </c>
      <c r="D35" s="142">
        <f>C35/1000</f>
        <v>0.001</v>
      </c>
    </row>
    <row r="36" spans="8:8" s="133" ht="15.75" customFormat="1">
      <c r="A36" s="134" t="s">
        <v>112</v>
      </c>
      <c r="B36" s="136"/>
      <c r="C36" s="134" t="s">
        <v>67</v>
      </c>
      <c r="D36" s="136"/>
    </row>
    <row r="37" spans="8:8">
      <c r="A37" s="137" t="s">
        <v>107</v>
      </c>
      <c r="B37" s="138" t="s">
        <v>46</v>
      </c>
      <c r="C37" s="137" t="s">
        <v>53</v>
      </c>
      <c r="D37" s="139" t="s">
        <v>50</v>
      </c>
    </row>
    <row r="38" spans="8:8" s="162" ht="15.75" customFormat="1">
      <c r="A38" s="141">
        <v>1.0</v>
      </c>
      <c r="B38" s="142">
        <f>3280.84*A38</f>
        <v>3280.84</v>
      </c>
      <c r="C38" s="160">
        <v>1.0</v>
      </c>
      <c r="D38" s="161">
        <f>0.1*C38</f>
        <v>0.1</v>
      </c>
    </row>
  </sheetData>
  <mergeCells count="46">
    <mergeCell ref="M2:N2"/>
    <mergeCell ref="I6:J6"/>
    <mergeCell ref="M9:N9"/>
    <mergeCell ref="M6:N6"/>
    <mergeCell ref="K3:L3"/>
    <mergeCell ref="G3:H3"/>
    <mergeCell ref="G6:H6"/>
    <mergeCell ref="G9:H9"/>
    <mergeCell ref="E3:F3"/>
    <mergeCell ref="C30:D30"/>
    <mergeCell ref="C9:D9"/>
    <mergeCell ref="C21:D21"/>
    <mergeCell ref="C24:D24"/>
    <mergeCell ref="M12:N12"/>
    <mergeCell ref="E12:G21"/>
    <mergeCell ref="A21:B21"/>
    <mergeCell ref="A24:B24"/>
    <mergeCell ref="A27:B27"/>
    <mergeCell ref="A30:B30"/>
    <mergeCell ref="A33:B33"/>
    <mergeCell ref="A36:B36"/>
    <mergeCell ref="A2:D2"/>
    <mergeCell ref="K6:L6"/>
    <mergeCell ref="E9:F9"/>
    <mergeCell ref="A9:B9"/>
    <mergeCell ref="A3:B3"/>
    <mergeCell ref="A6:B6"/>
    <mergeCell ref="A15:B15"/>
    <mergeCell ref="A18:B18"/>
    <mergeCell ref="C12:D12"/>
    <mergeCell ref="I2:L2"/>
    <mergeCell ref="C27:D27"/>
    <mergeCell ref="I3:J3"/>
    <mergeCell ref="C33:D33"/>
    <mergeCell ref="C36:D36"/>
    <mergeCell ref="E6:F6"/>
    <mergeCell ref="C3:D3"/>
    <mergeCell ref="A12:B12"/>
    <mergeCell ref="M3:N3"/>
    <mergeCell ref="C6:D6"/>
    <mergeCell ref="I9:J9"/>
    <mergeCell ref="E2:H2"/>
    <mergeCell ref="C15:D15"/>
    <mergeCell ref="C18:D18"/>
    <mergeCell ref="A1:N1"/>
    <mergeCell ref="K9:L9"/>
  </mergeCells>
  <pageMargins left="0.7" right="0.7" top="0.75" bottom="0.75" header="0.3" footer="0.3"/>
  <pageSetup paperSize="9" scale="66"/>
  <drawing r:id="rId1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14.0300</AppVersion>
</Properties>
</file>

<file path=docProps/core.xml><?xml version="1.0" encoding="utf-8"?>
<cp:coreProperties xmlns:cp="http://schemas.openxmlformats.org/package/2006/metadata/core-properties" xmlns:dcterms="http://purl.org/dc/terms/" xmlns:xsi="http://www.w3.org/2001/XMLSchema-instance">
  <dcterms:created xsi:type="dcterms:W3CDTF">2006-09-15T19:00:00Z</dcterms:created>
  <dcterms:modified xsi:type="dcterms:W3CDTF">2016-10-10T09:57:44Z</dcterms:modified>
</cp:coreProperties>
</file>