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15" windowHeight="8175" activeTab="4"/>
  </bookViews>
  <sheets>
    <sheet name="FLAT SLAB +DROP" sheetId="1" r:id="rId1"/>
    <sheet name="BASE PLATE" sheetId="2" r:id="rId2"/>
    <sheet name="CRITIRIA" sheetId="3" r:id="rId3"/>
    <sheet name="พื้นรับน้ำหนัก" sheetId="4" r:id="rId4"/>
    <sheet name="FLAT PLATE SLAB" sheetId="5" r:id="rId5"/>
    <sheet name="คำนวณคานเหล็ก" sheetId="6" r:id="rId6"/>
    <sheet name="คำนวณเสาเหล็กFa,ryตัวอย่าง" sheetId="7" r:id="rId7"/>
    <sheet name="คำนวณเสาเหล็กFa,rx" sheetId="8" r:id="rId8"/>
    <sheet name="บันทึก" sheetId="9" r:id="rId9"/>
    <sheet name="คำนวณแป-จันทัน " sheetId="10" r:id="rId10"/>
  </sheets>
  <externalReferences>
    <externalReference r:id="rId13"/>
  </externalReferences>
  <definedNames>
    <definedName name="DB" localSheetId="4">'FLAT PLATE SLAB'!$U$13</definedName>
    <definedName name="DB" localSheetId="0">'FLAT SLAB +DROP'!#REF!</definedName>
    <definedName name="_xlnm.Print_Area" localSheetId="1">'BASE PLATE'!$A$1:$I$40</definedName>
    <definedName name="_xlnm.Print_Area" localSheetId="2">'CRITIRIA'!#REF!</definedName>
    <definedName name="_xlnm.Print_Area" localSheetId="4">'FLAT PLATE SLAB'!$O$13:$AG$39</definedName>
    <definedName name="_xlnm.Print_Area" localSheetId="0">'FLAT SLAB +DROP'!$O$13:$AG$38</definedName>
    <definedName name="_xlnm.Print_Area" localSheetId="7">'คำนวณเสาเหล็กFa,rx'!$A$2:$L$49</definedName>
    <definedName name="_xlnm.Print_Area" localSheetId="6">'คำนวณเสาเหล็กFa,ryตัวอย่าง'!$A$2:$L$46</definedName>
    <definedName name="_xlnm.Print_Area" localSheetId="9">'คำนวณแป-จันทัน '!$A$83:$N$125</definedName>
    <definedName name="_xlnm.Print_Area" localSheetId="5">'คำนวณคานเหล็ก'!$A$1:$L$49</definedName>
    <definedName name="_xlnm.Print_Area" localSheetId="8">'บันทึก'!#REF!</definedName>
    <definedName name="_xlnm.Print_Area" localSheetId="3">'พื้นรับน้ำหนัก'!$A$1:$M$30</definedName>
  </definedNames>
  <calcPr fullCalcOnLoad="1"/>
</workbook>
</file>

<file path=xl/sharedStrings.xml><?xml version="1.0" encoding="utf-8"?>
<sst xmlns="http://schemas.openxmlformats.org/spreadsheetml/2006/main" count="1671" uniqueCount="535">
  <si>
    <t>kg./m.</t>
  </si>
  <si>
    <t>ksc.</t>
  </si>
  <si>
    <t>Def.  =</t>
  </si>
  <si>
    <t>cm.</t>
  </si>
  <si>
    <t>OK</t>
  </si>
  <si>
    <t>kg.</t>
  </si>
  <si>
    <t>m.</t>
  </si>
  <si>
    <t>Sx(req)  =</t>
  </si>
  <si>
    <t>kg.-m.</t>
  </si>
  <si>
    <t>cm^3</t>
  </si>
  <si>
    <t>Ix  =</t>
  </si>
  <si>
    <t>cm.^4</t>
  </si>
  <si>
    <t>1:</t>
  </si>
  <si>
    <t>แป</t>
  </si>
  <si>
    <t>P</t>
  </si>
  <si>
    <t>L</t>
  </si>
  <si>
    <t>LL</t>
  </si>
  <si>
    <t>ของที่ต้องเตรียม</t>
  </si>
  <si>
    <t>กระดาษลอกลาย</t>
  </si>
  <si>
    <t>ปากกาเขียนแผ่นใส ชนิด PERMANENT ประมาณ 3 สี</t>
  </si>
  <si>
    <t>ดินสอ</t>
  </si>
  <si>
    <t>บันทึกท้ายเล่ม</t>
  </si>
  <si>
    <t>แป (PURLIN)</t>
  </si>
  <si>
    <t>NOTE :</t>
  </si>
  <si>
    <t>การคิดแรงลมที่กระทำกับหลังคา</t>
  </si>
  <si>
    <t>-</t>
  </si>
  <si>
    <t>จะต้องคิดเมื่อหลังคามีความเอียงลาด ตั้งแต่ 10 องศา</t>
  </si>
  <si>
    <t>ไม่ต้องคิดเมื่อหลังคามีความเอียงลาด น้อยกว่า 10 องศา เพราะหลังคาประเภทนี้เป็นแบบแรงดูด (SUCTION)</t>
  </si>
  <si>
    <t>สูตรที่ใช้ส่วนใหญ่มี 3 สูตร</t>
  </si>
  <si>
    <t>1)</t>
  </si>
  <si>
    <t>Pn</t>
  </si>
  <si>
    <t>=</t>
  </si>
  <si>
    <t>P (2sin@) / (1+sin^2 @)</t>
  </si>
  <si>
    <t>Duchemin Formula</t>
  </si>
  <si>
    <t>2)</t>
  </si>
  <si>
    <t>Hutton Formula</t>
  </si>
  <si>
    <t>3)</t>
  </si>
  <si>
    <t>Ketchum or Straight-line Formula</t>
  </si>
  <si>
    <t>เมื่อ :</t>
  </si>
  <si>
    <t>แรงตั้งฉากกับหลังคา</t>
  </si>
  <si>
    <t>P @ / 45</t>
  </si>
  <si>
    <t>P sin@^(1.84cos@-1)</t>
  </si>
  <si>
    <t>แรงลม ตามข้อบัญญัติกรุงเทพมหานคร</t>
  </si>
  <si>
    <t>kg./m^2</t>
  </si>
  <si>
    <t>@</t>
  </si>
  <si>
    <t>ความเอียงลาดของหลังคา</t>
  </si>
  <si>
    <t>องศา</t>
  </si>
  <si>
    <t>ในการคำนวณ จะใช้สูตรที่ 3) ซึ่งใช้กันทั่วไป และง่ายต่อการคำนวณ</t>
  </si>
  <si>
    <t>รายการคำนวณโครงสร้างหลังคา</t>
  </si>
  <si>
    <t>Ix</t>
  </si>
  <si>
    <t>Iy</t>
  </si>
  <si>
    <t>น้ำหนักจร</t>
  </si>
  <si>
    <t>วัสดุมุง</t>
  </si>
  <si>
    <t>งานระบบ</t>
  </si>
  <si>
    <t>น้ำหนักบรรทุก (แนวดิ่ง)</t>
  </si>
  <si>
    <t>รวม(w)</t>
  </si>
  <si>
    <t>w cos@</t>
  </si>
  <si>
    <t>w sin@</t>
  </si>
  <si>
    <t>(แรงตั้งฉากกับหลังคา)</t>
  </si>
  <si>
    <t>(แรงขนานกับหลังคา)</t>
  </si>
  <si>
    <t>คำนวณตามแนวตั้งฉาก กับหลังคา</t>
  </si>
  <si>
    <t>ค่าการโก่งตัวของแปรับหลังคา ต้องไม่มากกว่า L/230</t>
  </si>
  <si>
    <t>คำนวณตามแนวขนาน กับหลังคา (มี SAG ROD ยึดทุกช่วง 3 เมตร)</t>
  </si>
  <si>
    <t>fbx/Fbx + fby/Fby   &lt;=</t>
  </si>
  <si>
    <t>bf / 2 tf</t>
  </si>
  <si>
    <t>437.7/Fy^0.5</t>
  </si>
  <si>
    <t>Iy  =</t>
  </si>
  <si>
    <t>bf  =</t>
  </si>
  <si>
    <t>tf  =</t>
  </si>
  <si>
    <t>Fy  =</t>
  </si>
  <si>
    <t>&lt;</t>
  </si>
  <si>
    <t>Fbx  =</t>
  </si>
  <si>
    <t>Fby  =</t>
  </si>
  <si>
    <t>0.75Fy =</t>
  </si>
  <si>
    <t>0.66Fy  =</t>
  </si>
  <si>
    <t>Sy(req)  =</t>
  </si>
  <si>
    <t>Sx</t>
  </si>
  <si>
    <t>Sy  =</t>
  </si>
  <si>
    <t>cm.^3</t>
  </si>
  <si>
    <t>fbx  =</t>
  </si>
  <si>
    <t>fby  =</t>
  </si>
  <si>
    <t>เป็นหน้าตัดแบบ compact</t>
  </si>
  <si>
    <t>จันทัน (RAFTER)</t>
  </si>
  <si>
    <t>ตัวยึดแป (SAG ROD)</t>
  </si>
  <si>
    <t>RB 12 mm.</t>
  </si>
  <si>
    <t>w sin@ x (6.6x3)</t>
  </si>
  <si>
    <t>Ft</t>
  </si>
  <si>
    <t>0.6Fy</t>
  </si>
  <si>
    <t>Pt</t>
  </si>
  <si>
    <t>As x Ft</t>
  </si>
  <si>
    <t>&gt;</t>
  </si>
  <si>
    <t>( ขนาด RB 12 mm. เป็นขนาดที่เล็กที่สุด)</t>
  </si>
  <si>
    <t>ระยะห่างระหว่าง T1   =</t>
  </si>
  <si>
    <t>TRUSS  T1 SPAN 12 m.</t>
  </si>
  <si>
    <t>ระยะห่างระหว่างภายในตามแนวราบ   =</t>
  </si>
  <si>
    <t xml:space="preserve"> มุม  =</t>
  </si>
  <si>
    <t xml:space="preserve">  องศา</t>
  </si>
  <si>
    <t>เรเดียน</t>
  </si>
  <si>
    <t>แรงในแนวดิ่ง(Px) =</t>
  </si>
  <si>
    <t>=Pn * sin@  =</t>
  </si>
  <si>
    <t xml:space="preserve">แรงในแนวราบ(Py) </t>
  </si>
  <si>
    <t>Px (ต่อจุด)</t>
  </si>
  <si>
    <t>Py (ต่อจุด)</t>
  </si>
  <si>
    <t>(เผื่อความเอียงราดไว้แล้ว)</t>
  </si>
  <si>
    <t>( กระทำเฉพาะด้านรับลม )</t>
  </si>
  <si>
    <t>( ไม่รวม selfweight )</t>
  </si>
  <si>
    <t>15+(SPAN - 12)</t>
  </si>
  <si>
    <t>SPAN ของโครงถัก &lt;= 12 m.            =</t>
  </si>
  <si>
    <t>SPAN ของโครงถัก &gt;12 m.=</t>
  </si>
  <si>
    <t>m = จำนวน member</t>
  </si>
  <si>
    <t>j = จำนวน joint</t>
  </si>
  <si>
    <t>ถ้า m &lt; 2*j-3  จะกลายเป็นโครงข้อแข็ง ( rigid joint ) ซึ่งมีการส่งถ่ายโมเมนต์</t>
  </si>
  <si>
    <t>ทำให้รับแรงอัดได้มากขึ้น เมื่อเทียบกับหน้าตัดที่มีพื้นที่เท่ากัน</t>
  </si>
  <si>
    <t>Bracing Truss</t>
  </si>
  <si>
    <t>TRUSS  T3 SPAN 6 m.</t>
  </si>
  <si>
    <t>ระยะห่างระหว่าง T3   =</t>
  </si>
  <si>
    <t>รวม</t>
  </si>
  <si>
    <t xml:space="preserve">แรงในแนวดิ่ง(Px) </t>
  </si>
  <si>
    <t>น้ำหนักของ Bracing ต่างๆ        =</t>
  </si>
  <si>
    <t>w + Pn*cos@ + Bracing=</t>
  </si>
  <si>
    <t xml:space="preserve"> มุม @ =</t>
  </si>
  <si>
    <t>รายการคำนวณโครงสร้างเสาเหล็ก</t>
  </si>
  <si>
    <t>CS1</t>
  </si>
  <si>
    <t>น้ำหนักที่จุดรองรับ</t>
  </si>
  <si>
    <t>Rv</t>
  </si>
  <si>
    <t>Rh</t>
  </si>
  <si>
    <t>Mx</t>
  </si>
  <si>
    <t>kg.-m</t>
  </si>
  <si>
    <t>Fy</t>
  </si>
  <si>
    <t>As</t>
  </si>
  <si>
    <t>cm^2</t>
  </si>
  <si>
    <t>rx</t>
  </si>
  <si>
    <t>ry</t>
  </si>
  <si>
    <t>E      =</t>
  </si>
  <si>
    <t>4)</t>
  </si>
  <si>
    <t>KL/ry</t>
  </si>
  <si>
    <t>Lx</t>
  </si>
  <si>
    <t>5)</t>
  </si>
  <si>
    <t>Ly</t>
  </si>
  <si>
    <t>Cc</t>
  </si>
  <si>
    <t>PI    =</t>
  </si>
  <si>
    <t>Fa</t>
  </si>
  <si>
    <t>Kx</t>
  </si>
  <si>
    <t>Ky</t>
  </si>
  <si>
    <t>KxL/rx</t>
  </si>
  <si>
    <t>KyL/ry</t>
  </si>
  <si>
    <t>fa</t>
  </si>
  <si>
    <t>fa/Fa</t>
  </si>
  <si>
    <t>&gt;  0.15</t>
  </si>
  <si>
    <t xml:space="preserve">fa/Fa + Cmx*fbx/(1-fa/F'ex)/Fbx        </t>
  </si>
  <si>
    <t>&lt;=   1</t>
  </si>
  <si>
    <t>(AISC 1.6 - 1a)</t>
  </si>
  <si>
    <t>fb</t>
  </si>
  <si>
    <t>M2</t>
  </si>
  <si>
    <t>M1</t>
  </si>
  <si>
    <t>Cmx</t>
  </si>
  <si>
    <t>Ix     =</t>
  </si>
  <si>
    <t>cm^4</t>
  </si>
  <si>
    <t>cx    =</t>
  </si>
  <si>
    <t>M2*cx/Ix =</t>
  </si>
  <si>
    <t>F'e</t>
  </si>
  <si>
    <t>0.6 + 0.4*(M1/M2)   =</t>
  </si>
  <si>
    <t>bf</t>
  </si>
  <si>
    <t>tf    =</t>
  </si>
  <si>
    <t>796.5/Fy^.5</t>
  </si>
  <si>
    <t>เป็นหน้าตัดแบบ partially compact</t>
  </si>
  <si>
    <t>Fb</t>
  </si>
  <si>
    <t>Fy[0.733-0.000167(bf/2tf)*Fy^.5]</t>
  </si>
  <si>
    <t xml:space="preserve">fa/Fa + Cmx*fbx/(1-fa/F'ex)/Fbx     =        </t>
  </si>
  <si>
    <t>และ</t>
  </si>
  <si>
    <t xml:space="preserve">fa/.6Fy + fbx/Fbx     &lt;=   1        </t>
  </si>
  <si>
    <t xml:space="preserve">fa/.6Fy + fbx/Fbx     =         </t>
  </si>
  <si>
    <t>ดูสัมประสิทธิของเสา</t>
  </si>
  <si>
    <t>เลือกค่า KL/r มากมาคำนวณ Fa</t>
  </si>
  <si>
    <t>WF 300x150x6.5x9 mm.-36.7 kg./m</t>
  </si>
  <si>
    <t>0.66Fy</t>
  </si>
  <si>
    <t>BS2</t>
  </si>
  <si>
    <t>น้ำหนักต่างๆที่มากสุดนำมาคำนวณ</t>
  </si>
  <si>
    <t>V</t>
  </si>
  <si>
    <t>การคำนวณคานเหล็กที่มีพื้นวาง ให้ถือว่าค้ำยันทางข้างที่ปีกรับแรงอัดอย่างพอเพียง</t>
  </si>
  <si>
    <t>Sx   =</t>
  </si>
  <si>
    <t>&lt;  Sx</t>
  </si>
  <si>
    <t>WF 350x175x7x11 mm.-49.6 kg./m</t>
  </si>
  <si>
    <t>ค่าการโก่งตัวของคานรับพื้น ต้องไม่มากกว่า L/360</t>
  </si>
  <si>
    <t>คานรับพื้นต้องมี STIFFENER ความหนาไม่น้อยกว่า ความหนาของ WEB และ ระยะห่างไม่ควรเกิน 2 ม.</t>
  </si>
  <si>
    <t>ตรวจสอบโมเมนต์ดัด</t>
  </si>
  <si>
    <t>ตรวจสอบแรงเฉืน</t>
  </si>
  <si>
    <t>tw</t>
  </si>
  <si>
    <t>H    =</t>
  </si>
  <si>
    <t>Fv</t>
  </si>
  <si>
    <t xml:space="preserve">Aw </t>
  </si>
  <si>
    <t>0.4 Fy  =</t>
  </si>
  <si>
    <t>fv</t>
  </si>
  <si>
    <t>V/Aw    =</t>
  </si>
  <si>
    <t>&lt;  Fv</t>
  </si>
  <si>
    <t>ตรวจสอบการโก่งตัว</t>
  </si>
  <si>
    <t>รายการคำนวณโครงสร้างคานเหล็ก</t>
  </si>
  <si>
    <t>Material Properties</t>
  </si>
  <si>
    <t>fc'</t>
  </si>
  <si>
    <t>ksc</t>
  </si>
  <si>
    <t>fs</t>
  </si>
  <si>
    <t>k = 1/(1+fs/(n*fc))</t>
  </si>
  <si>
    <t xml:space="preserve">j </t>
  </si>
  <si>
    <t>R</t>
  </si>
  <si>
    <t xml:space="preserve">Preliminary design fors slab thickess </t>
  </si>
  <si>
    <t>DESIGN</t>
  </si>
  <si>
    <t>Short span length ,Ls</t>
  </si>
  <si>
    <t>m</t>
  </si>
  <si>
    <t>Long span length ,Lg</t>
  </si>
  <si>
    <t>Vc =0.29*(fc')^0.5</t>
  </si>
  <si>
    <t>Design Reinforcement for Long Span</t>
  </si>
  <si>
    <t>Design Reinforcement for Short Span</t>
  </si>
  <si>
    <t>t1(min) = 0.091L(1-2C/3L)*(141w'/fc')^0.5+2.54</t>
  </si>
  <si>
    <t>Check  puching shear strength of slab</t>
  </si>
  <si>
    <t>Design for bending moment ,Mo</t>
  </si>
  <si>
    <t>kg-m</t>
  </si>
  <si>
    <t>t2(min) = 0.106L(1-2C/3L)*(141w'/fc')^0.5+3.81</t>
  </si>
  <si>
    <t>cm</t>
  </si>
  <si>
    <t>total load</t>
  </si>
  <si>
    <t>Vc =0.53*(fc')^0.5</t>
  </si>
  <si>
    <t>Strip width</t>
  </si>
  <si>
    <t>t2(max) = 1.5t1</t>
  </si>
  <si>
    <t>covering , (d')</t>
  </si>
  <si>
    <t>Exterior Span</t>
  </si>
  <si>
    <t>Interior Span</t>
  </si>
  <si>
    <t>NEG. M</t>
  </si>
  <si>
    <t>POS. M</t>
  </si>
  <si>
    <t xml:space="preserve">Drop Pannel width ,l1 ,0.30Ls &lt; l1 &lt; 0.40Ls  </t>
  </si>
  <si>
    <t>Check Column Section Requirement</t>
  </si>
  <si>
    <t>COL. Strip</t>
  </si>
  <si>
    <t>coff.</t>
  </si>
  <si>
    <t>Col. Strip</t>
  </si>
  <si>
    <t>F = 1.15-C/L</t>
  </si>
  <si>
    <t>M(kg-m)</t>
  </si>
  <si>
    <t xml:space="preserve">Drop Pannel length ,l2 ,0.30Lg &lt; l2 &lt; 0.40Lg  </t>
  </si>
  <si>
    <t>Mo =0.09FWLg(1-2C/3Lg)^2</t>
  </si>
  <si>
    <t>As(cm^2)</t>
  </si>
  <si>
    <t>Mo =0.09FWLs(1-2C/3Ls)^2</t>
  </si>
  <si>
    <t>Reinf. (or)</t>
  </si>
  <si>
    <t>DB12</t>
  </si>
  <si>
    <t>RB9</t>
  </si>
  <si>
    <t>Drop pannel thickness ,t2</t>
  </si>
  <si>
    <t>Reinf.</t>
  </si>
  <si>
    <t>Case 1 Have Both uppper and Lower Column</t>
  </si>
  <si>
    <t>USED</t>
  </si>
  <si>
    <r>
      <t>Ic = 0.083t^3H/(0.5+W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</si>
  <si>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t>Column width C1</t>
  </si>
  <si>
    <t>MID. Strip</t>
  </si>
  <si>
    <t>Column length C2</t>
  </si>
  <si>
    <t>Case 2 Have Lower Column only</t>
  </si>
  <si>
    <t>LOAD</t>
  </si>
  <si>
    <r>
      <t>Ic = (2-2.3h/H)0.083t^3H/(0.5+W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/W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</si>
  <si>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t>DL ,Dead load</t>
  </si>
  <si>
    <t>kg/sqm.</t>
  </si>
  <si>
    <t>H ,(Average Height of Upper and Lower Column)</t>
  </si>
  <si>
    <t>LL ,Live load</t>
  </si>
  <si>
    <t>h ,(Top of slab to bottom of column capital)</t>
  </si>
  <si>
    <t>DL+LL ,Total load Uniform load ,w'</t>
  </si>
  <si>
    <r>
      <t>W</t>
    </r>
    <r>
      <rPr>
        <vertAlign val="subscript"/>
        <sz val="10"/>
        <rFont val="Arial"/>
        <family val="2"/>
      </rPr>
      <t>D</t>
    </r>
  </si>
  <si>
    <t>kg</t>
  </si>
  <si>
    <t>BENDING MOMENT FOR DESIGN COLUMN</t>
  </si>
  <si>
    <r>
      <t>W</t>
    </r>
    <r>
      <rPr>
        <vertAlign val="subscript"/>
        <sz val="10"/>
        <rFont val="Arial"/>
        <family val="2"/>
      </rPr>
      <t>L</t>
    </r>
  </si>
  <si>
    <r>
      <t>Internal Column , M = (WL1-W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L2)/40</t>
    </r>
  </si>
  <si>
    <t>As(min)  =</t>
  </si>
  <si>
    <t>cm^2/m</t>
  </si>
  <si>
    <r>
      <t>Total load on column ,W = W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+ W</t>
    </r>
    <r>
      <rPr>
        <i/>
        <vertAlign val="subscript"/>
        <sz val="10"/>
        <rFont val="Arial"/>
        <family val="2"/>
      </rPr>
      <t>L</t>
    </r>
  </si>
  <si>
    <t>External Column , M = (WL1)/30</t>
  </si>
  <si>
    <t>Used      =</t>
  </si>
  <si>
    <t>Used slab thickness ,t2</t>
  </si>
  <si>
    <t>Slab Thickness ,t2(min) = Lg/36</t>
  </si>
  <si>
    <t>Slab Thickness ,t2(min) = 4 in</t>
  </si>
  <si>
    <t>&gt;=  1</t>
  </si>
  <si>
    <t>&gt;=42000</t>
  </si>
  <si>
    <t>d1 at column</t>
  </si>
  <si>
    <t>d2 at mid-span</t>
  </si>
  <si>
    <t xml:space="preserve">  FLAT PLATE SLAB</t>
  </si>
  <si>
    <t>Effective Depth , (d2)</t>
  </si>
  <si>
    <t>Load transfer to edge beam (B) = 0.4W</t>
  </si>
  <si>
    <t>Short span  ,Ls</t>
  </si>
  <si>
    <t>Long span  ,Lg</t>
  </si>
  <si>
    <t>Check Effective Depth due to Moment</t>
  </si>
  <si>
    <t>CANCEL</t>
  </si>
  <si>
    <t>NOTE  :</t>
  </si>
  <si>
    <t>การออกแบบพื้นเพื่อรับน้ำหนักเครื่องจักรกล มีขั้นตอนดังนี้</t>
  </si>
  <si>
    <t>หาน้ำหนักเครื่องจักรกล อาจหาได้จาก Catalog</t>
  </si>
  <si>
    <t>ออกแบบพื้นเป็นแบบใดก็ได้ แต่ต้อง ตรวจสอบ PUNCHING SHEAR ที่จุดรองรับเครื่องจักรที่มากที่สุด</t>
  </si>
  <si>
    <t>ตัวอย่าง</t>
  </si>
  <si>
    <t xml:space="preserve">ฐานเครื่องจักรขนาด </t>
  </si>
  <si>
    <t xml:space="preserve">กว้าง  = </t>
  </si>
  <si>
    <t>ยาว  =</t>
  </si>
  <si>
    <t>ออกแบบพื้น คสล. หนา            =</t>
  </si>
  <si>
    <t>fc'        =</t>
  </si>
  <si>
    <t>vc      =</t>
  </si>
  <si>
    <t>0.53*fc'^.5</t>
  </si>
  <si>
    <t>ksc.  =</t>
  </si>
  <si>
    <t>d       =</t>
  </si>
  <si>
    <t>D - 3</t>
  </si>
  <si>
    <t>cm.    =</t>
  </si>
  <si>
    <t>[(กว้าง+d)*2 + (ยาว+d)*2]*d</t>
  </si>
  <si>
    <t>จุดรองรับนี้รับน้ำหนักได้  =</t>
  </si>
  <si>
    <t>พื้นที่รับแรงเฉือน   A =</t>
  </si>
  <si>
    <t xml:space="preserve">  A =</t>
  </si>
  <si>
    <t>vc*A     =</t>
  </si>
  <si>
    <t>kg/m.</t>
  </si>
  <si>
    <t>การคิดเหล็กเสริม DROP PANEL  ให้คิดเหมือนกับเหล็กเสริมกันราว โดยที่</t>
  </si>
  <si>
    <t xml:space="preserve">D = </t>
  </si>
  <si>
    <t>ความหนาแผ่นพื้น + ความหนา DROP PANEL</t>
  </si>
  <si>
    <t>As =</t>
  </si>
  <si>
    <t>สำหรับเหล็กข้ออ้อย</t>
  </si>
  <si>
    <t>การคำนวณพื้นรับน้ำหนักเครื่องจักรกล</t>
  </si>
  <si>
    <t>( W = w*L)</t>
  </si>
  <si>
    <t>1/48*P*l^3</t>
  </si>
  <si>
    <t xml:space="preserve">5/384*(WL^3)/(E*I) </t>
  </si>
  <si>
    <t>P   =</t>
  </si>
  <si>
    <t>w  =</t>
  </si>
  <si>
    <t>d2</t>
  </si>
  <si>
    <t>Slab Thickness ,t2(min) = Lg/40</t>
  </si>
  <si>
    <t>t2(min) = 0.091L(1-2C/3L)*(141w'/fc')^0.5+2.54</t>
  </si>
  <si>
    <t>t1(min) = 0.106L(1-2C/3L)*(141w'/fc')^0.5+3.81</t>
  </si>
  <si>
    <t>t1(max) = 1.5t1</t>
  </si>
  <si>
    <t>Drop pannel thickness ,t1</t>
  </si>
  <si>
    <t>Drop Pannel length ,l2 ,0.30Lg &lt; l2 &lt; 0.40Lg, (bg)</t>
  </si>
  <si>
    <t>Drop Pannel width ,l1 ,0.30Ls &lt; l1 &lt; 0.40Ls (bs)</t>
  </si>
  <si>
    <t>Ms</t>
  </si>
  <si>
    <t>Mg</t>
  </si>
  <si>
    <t>Check t1</t>
  </si>
  <si>
    <t>Check t2</t>
  </si>
  <si>
    <t>Check beam shear strength of slab      bo</t>
  </si>
  <si>
    <t>Vp at C+d1/2   , (COLUMN)</t>
  </si>
  <si>
    <t>Vp at C+d   , (COLUMN)</t>
  </si>
  <si>
    <t>d1</t>
  </si>
  <si>
    <t>Effective Depth at drop pannel, (d1)</t>
  </si>
  <si>
    <t>Ls/2</t>
  </si>
  <si>
    <t>Lg/2</t>
  </si>
  <si>
    <t>Vp at l+d/2</t>
  </si>
  <si>
    <t>Vp at l+d2/2   , (DROP)</t>
  </si>
  <si>
    <t xml:space="preserve">dg = (Mg/R/(3/4*bs))^0.5  </t>
  </si>
  <si>
    <t>DB16</t>
  </si>
  <si>
    <t>Ic (ของโครงสร้างเสารูปสี่เหลี่ยม)</t>
  </si>
  <si>
    <t xml:space="preserve">ds = (Ms/R/(3/4*bg))^0.5   </t>
  </si>
  <si>
    <t xml:space="preserve">dg = (Mg/R/(3/4*bs))^0.5   </t>
  </si>
  <si>
    <t>dg = (Mg/R/(3/4*bs))^0.5  , (bs=Ls/2)</t>
  </si>
  <si>
    <t xml:space="preserve">ds = (Ms/R/(3/4*bg))^0.5  , (bg=Lg/2) </t>
  </si>
  <si>
    <t>การตรวจสอบโครงสร้างอย่างง่าย</t>
  </si>
  <si>
    <t>การตรวจสอบ MONENT</t>
  </si>
  <si>
    <t>wL^2/8</t>
  </si>
  <si>
    <t>M</t>
  </si>
  <si>
    <t>PL/4</t>
  </si>
  <si>
    <t>M/(fs*(d-d'))</t>
  </si>
  <si>
    <t>การตรวจสอบ DEFLECTION</t>
  </si>
  <si>
    <t>Def.</t>
  </si>
  <si>
    <t>2.1*10^6</t>
  </si>
  <si>
    <t>การตรวจสอบ SHEAR</t>
  </si>
  <si>
    <t>คานคอนกรีต</t>
  </si>
  <si>
    <t>Vc</t>
  </si>
  <si>
    <t>0.29*f'c^0.5</t>
  </si>
  <si>
    <t>V - Vc</t>
  </si>
  <si>
    <t>V'</t>
  </si>
  <si>
    <t>S</t>
  </si>
  <si>
    <t>Av*fv*d/V'</t>
  </si>
  <si>
    <t>คานเหล็ก</t>
  </si>
  <si>
    <t xml:space="preserve">0.4 Fy  </t>
  </si>
  <si>
    <t xml:space="preserve">V/Aw   </t>
  </si>
  <si>
    <t>EXAMPLE</t>
  </si>
  <si>
    <t>d</t>
  </si>
  <si>
    <t xml:space="preserve">โครงถัก   SPAN 12 m. รับน้ำหนัก DL+LL = 69 kg./m.^2 </t>
  </si>
  <si>
    <t>w</t>
  </si>
  <si>
    <t>( TOP &amp; BOTTOM )</t>
  </si>
  <si>
    <t>น้ำหนักตัวเอง = 15 kg./m^2  ความลึกของโครงถัก = 0.70 m.</t>
  </si>
  <si>
    <t>0.5Fy =</t>
  </si>
  <si>
    <t>BAY  =  6  m.</t>
  </si>
  <si>
    <t xml:space="preserve">DL+LL </t>
  </si>
  <si>
    <t>selfweight   =</t>
  </si>
  <si>
    <t xml:space="preserve">BAY </t>
  </si>
  <si>
    <t xml:space="preserve">USE </t>
  </si>
  <si>
    <t>PIPE DIA. 80*3.2 mm.-6.76 kg./m.</t>
  </si>
  <si>
    <t xml:space="preserve">As </t>
  </si>
  <si>
    <t>ใกล้เคียง 10.80 cm^2</t>
  </si>
  <si>
    <t>d/2</t>
  </si>
  <si>
    <t>Ic</t>
  </si>
  <si>
    <t>Es</t>
  </si>
  <si>
    <t>:</t>
  </si>
  <si>
    <t>(UPPER&amp;LOWER CHORD)</t>
  </si>
  <si>
    <t>&lt; 300</t>
  </si>
  <si>
    <t>(DIAGONAL)</t>
  </si>
  <si>
    <t>PIPE DIA. 50*2.3 mm.-3.29 kg./m.</t>
  </si>
  <si>
    <t>ประมาณ As/2 ของ UPPER CHORD</t>
  </si>
  <si>
    <t>RC. FLAT SLAB DESIGN</t>
  </si>
  <si>
    <t>0.002*b*D</t>
  </si>
  <si>
    <t>ถ้าเครื่องจักรมีการสั่น ขณะทำงาน ต้องคูณด้วย 3 ของน้ำหนักปกติ และ ควรแยกส่วนโครงสร้าง</t>
  </si>
  <si>
    <t>F'e    =</t>
  </si>
  <si>
    <t>12*3.1416^2*E/(23*(KL/rb)^2)</t>
  </si>
  <si>
    <t xml:space="preserve">fa = Rv/As </t>
  </si>
  <si>
    <t>แทนค่าสูตร</t>
  </si>
  <si>
    <t>5/384*(WL^3)/(E*I) ,</t>
  </si>
  <si>
    <t>POINT LOAD</t>
  </si>
  <si>
    <t>UNI. LOAD</t>
  </si>
  <si>
    <t>รายการคำนวณโครงสร้าง</t>
  </si>
  <si>
    <t>โครงการ</t>
  </si>
  <si>
    <t>กฏข้อบังคับ</t>
  </si>
  <si>
    <t>กฏกระทรวงฉบับที่ 6 พ.ศ. 2527</t>
  </si>
  <si>
    <t>ออกตามความใน พ.ร.บ. ควบคุมอาคาร พ.ศ. 2522</t>
  </si>
  <si>
    <t>มาตรฐานสำหรับอาคารคอนกรีตเสริมเหล็ก วิศวกรรมสถานแห่งประเทศไทย พ.ศ. 2517</t>
  </si>
  <si>
    <t>AMERICAN INSTITUE OF STEEL CONSTRUCTION ( AISC.),1977</t>
  </si>
  <si>
    <t>กำลังวัสดุ</t>
  </si>
  <si>
    <t>กำลังอัดประลัยของคอนกรีตทรงกระบอกมาตรฐาน ที่อายุ 28 วัน</t>
  </si>
  <si>
    <t>กก./ตร.ซม.</t>
  </si>
  <si>
    <t>กำลังอัดของคอนกรีตที่ใช้ในการออกแบบ</t>
  </si>
  <si>
    <t>กำลังคลากของเหล็กข้ออ้อย(SD. 40) มอก.</t>
  </si>
  <si>
    <t>กำลังคลากของเหล็กกลมผิวเรียบ (SR. 24) มอก.</t>
  </si>
  <si>
    <t>กำลังคลากของเหล็กรูปพรรณ (Fe. 24) มอก.</t>
  </si>
  <si>
    <t>DESIGN  CRITERIA</t>
  </si>
  <si>
    <t>REINFORCED CONCRETE DESIGN</t>
  </si>
  <si>
    <t xml:space="preserve">       DEFORMED BAR</t>
  </si>
  <si>
    <t xml:space="preserve">       ROUND BAR</t>
  </si>
  <si>
    <t>Fc'</t>
  </si>
  <si>
    <t>Fs</t>
  </si>
  <si>
    <t>Fc</t>
  </si>
  <si>
    <t>K</t>
  </si>
  <si>
    <t>J</t>
  </si>
  <si>
    <t>N</t>
  </si>
  <si>
    <t>LOADING CRITERIA</t>
  </si>
  <si>
    <t>WIND LOAD</t>
  </si>
  <si>
    <t>RC.</t>
  </si>
  <si>
    <t>Kg./cu.m.</t>
  </si>
  <si>
    <t>H</t>
  </si>
  <si>
    <t>HIGHT OF BUILDING (m.)</t>
  </si>
  <si>
    <t>STEEL</t>
  </si>
  <si>
    <t>&lt;=</t>
  </si>
  <si>
    <t>Kg./sq.m.</t>
  </si>
  <si>
    <t>SOIL</t>
  </si>
  <si>
    <t>WATER</t>
  </si>
  <si>
    <t>น้ำหนักจร(LL.)</t>
  </si>
  <si>
    <t>BASE PLATE FOR SUPPORT</t>
  </si>
  <si>
    <t>Fe 24</t>
  </si>
  <si>
    <t>;</t>
  </si>
  <si>
    <t>Fy     =</t>
  </si>
  <si>
    <t>ขนาด</t>
  </si>
  <si>
    <t>กว้าง   =</t>
  </si>
  <si>
    <t>ยาว    =</t>
  </si>
  <si>
    <t>เสาของTRUSS =</t>
  </si>
  <si>
    <t>l</t>
  </si>
  <si>
    <t>ยาว/2 - เสา/2  =</t>
  </si>
  <si>
    <t>P/(ก*ย)  =</t>
  </si>
  <si>
    <t>kg./cm^2</t>
  </si>
  <si>
    <t>wl^2/2  =</t>
  </si>
  <si>
    <t>kg.-cm.</t>
  </si>
  <si>
    <t xml:space="preserve">t (แผ่นเหล็ก) </t>
  </si>
  <si>
    <t>(6*M/0.75/Fy)^0.5  =</t>
  </si>
  <si>
    <t>Use</t>
  </si>
  <si>
    <t>mm.</t>
  </si>
  <si>
    <t>BOLT FOR SUPPORT</t>
  </si>
  <si>
    <t xml:space="preserve">BOLT - A307 </t>
  </si>
  <si>
    <t>Fv     =</t>
  </si>
  <si>
    <t>Fp     =</t>
  </si>
  <si>
    <t>1.35*Fy =</t>
  </si>
  <si>
    <t>t (แผ่นเหล็ก) =</t>
  </si>
  <si>
    <t>D (Bolt) =</t>
  </si>
  <si>
    <t>D* t(แผ่นเหล็ก) * Fp</t>
  </si>
  <si>
    <t>kg/bolt</t>
  </si>
  <si>
    <t>Ps</t>
  </si>
  <si>
    <t>3.414*D^2/4*Fv</t>
  </si>
  <si>
    <t>No. of Bolt</t>
  </si>
  <si>
    <t>set</t>
  </si>
  <si>
    <t>Ph</t>
  </si>
  <si>
    <t>Ph/Ps   =</t>
  </si>
  <si>
    <t>USE                   Bolt</t>
  </si>
  <si>
    <t>Diameter</t>
  </si>
  <si>
    <t xml:space="preserve">แรงลม:  ระดับความสูงของหลังคา 10.59 ม.    P      = </t>
  </si>
  <si>
    <t xml:space="preserve">[ 150x50x20x3.2 mm.-6.76 kg./m           @ = </t>
  </si>
  <si>
    <t>(Pn+w*cos@)*@ของแป  =</t>
  </si>
  <si>
    <t>(w*sin@)*@ของแป  =</t>
  </si>
  <si>
    <t>ตรวจสอบการรับแรงดัดร่วม</t>
  </si>
  <si>
    <t>My     =</t>
  </si>
  <si>
    <t>Mx     =</t>
  </si>
  <si>
    <t>แกนหลัก</t>
  </si>
  <si>
    <t>แกนรอง</t>
  </si>
  <si>
    <t>-น้ำหนัก SELFWEIGHT ของโครงถัก จะประมาณได้ดังนี้</t>
  </si>
  <si>
    <t>-ตรวจสอบโครงถัก      m &gt;= 2*j-3</t>
  </si>
  <si>
    <t>-Vertical member ควรจะมีระยะห่างกันใก้ลเคียงกับความลึกของโครงถัก เพราะ จะทำให้ Diagonal member ไม่ยาวเกินไป</t>
  </si>
  <si>
    <t>-Diagonal member ควรจะเอียงไปทางด้านสั้น เพราะ จะรับแรงอัดได้ดีกว่า ส่งผลให้ประหยัด</t>
  </si>
  <si>
    <t>-ควรเลือกหน้าตัดของ member ที่เป็น จัตตุรัส เพราะค่ารัศมีไจเรชั่นของแกนรองมีมากกว่าหน้าตัดอื่น</t>
  </si>
  <si>
    <t>-การควบคุมระยะโก่งตัว สำหรับโครงถักที่รับหลังคาต้องไม่มากกว่า  L/300</t>
  </si>
  <si>
    <t>-ความลึกของโครงถัก ที่ประหยัด โดยทั่วไปประมาณ L/15</t>
  </si>
  <si>
    <t xml:space="preserve">-Bracing ของ Main Truss ไม่ควรห่างเกิน 10 เมตร เพราะจะทำให้ Main Truss บิดงอรับกำลังได้ไม่เต็มที่ </t>
  </si>
  <si>
    <t>และความยาว TIE ROD มากเกินไป ทำให้ขัน TUEN BUCKLE ได้ไม่ตึง</t>
  </si>
  <si>
    <t>-จุดยกโครงถักควรอยู่ระหว่าง 0.10-0.20(L) ทั้งสองข้าง เท่าๆกัน</t>
  </si>
  <si>
    <t>ความยาวของ SLOT</t>
  </si>
  <si>
    <t>Cs*L*(Tmax-Tmin)</t>
  </si>
  <si>
    <t>COEFFICIENT ของเหล็ก    (Cs)                           =</t>
  </si>
  <si>
    <t>Tmax</t>
  </si>
  <si>
    <t xml:space="preserve">         =</t>
  </si>
  <si>
    <t>C</t>
  </si>
  <si>
    <t>Tmin</t>
  </si>
  <si>
    <t>L = SPAN ของโครงถัก</t>
  </si>
  <si>
    <t>ขนาดเส้นผ่าศูนย์ BOLT</t>
  </si>
  <si>
    <t>ความยาวจากการเปลี่ยนแปลงอุณหภูมิ  (l1)          =</t>
  </si>
  <si>
    <t>ความยาวจากการเปลี่ยนแปลงอุณหภูมิ  (l1)        =</t>
  </si>
  <si>
    <t>DISPLACEMENT แกน X ที่ ROLLER SUPPORT (l2) =</t>
  </si>
  <si>
    <t>(l3)</t>
  </si>
  <si>
    <t>(l1+l2)*2+l3</t>
  </si>
  <si>
    <t>ความยาวของ SLOT =</t>
  </si>
  <si>
    <t>Fy    =</t>
  </si>
  <si>
    <t xml:space="preserve"> STEEL PLATE</t>
  </si>
  <si>
    <t>กำลังต้านทานแรงกดที่ยอมให้ (ของ STEEL PLATE)</t>
  </si>
  <si>
    <t>กำลังต้านทานแรงเฉือนที่ยอมให้ (ของ BOLT)</t>
  </si>
  <si>
    <t>Pb</t>
  </si>
  <si>
    <t>Ph/Pb   =</t>
  </si>
  <si>
    <t>เลือกตัวมาก</t>
  </si>
  <si>
    <t>CHECK TENSILE STRESS (ของแผ่นเหล็ก)</t>
  </si>
  <si>
    <t>0.6Fy   =</t>
  </si>
  <si>
    <t>Anet</t>
  </si>
  <si>
    <t>ความหนา*(ความกว้าง-(Dia.BOLT+0.2)*2)</t>
  </si>
  <si>
    <t>cm.^2</t>
  </si>
  <si>
    <t>ft</t>
  </si>
  <si>
    <t>Ph/Anet</t>
  </si>
  <si>
    <t>OK.</t>
  </si>
  <si>
    <t>อาคารโรงงาน คสล. สูง 2 ชั้น(ลาดพร้าว)</t>
  </si>
  <si>
    <t>&gt;=</t>
  </si>
  <si>
    <t>(สำหรับการดัดรอบแกนหลัก)</t>
  </si>
  <si>
    <t>0.60Fy</t>
  </si>
  <si>
    <t>&lt;=  200</t>
  </si>
  <si>
    <t>โครงสร้างหลัก</t>
  </si>
  <si>
    <t>KyL/r</t>
  </si>
  <si>
    <t>โครงสร้างรอง</t>
  </si>
  <si>
    <t>&lt;=  300</t>
  </si>
  <si>
    <t>&gt;= 0.40</t>
  </si>
  <si>
    <t>นำมาหาค่าเฉลี่ย เป็น น้ำหนักต่อตารางเมตร แล้วคูณด้วย 1.5 แต่ต้องมากกว่าหรือเท่ากับ 500 kg./m.^2</t>
  </si>
  <si>
    <t>AT COLUMN      bo</t>
  </si>
  <si>
    <t>Check beam shear strength of slab(AT DROP) bo</t>
  </si>
  <si>
    <t>Vp at l+d   , (DROP)</t>
  </si>
  <si>
    <t>H ,( Lower Column)</t>
  </si>
  <si>
    <t>Vp at C+d/2 , (COLUMN)</t>
  </si>
  <si>
    <t xml:space="preserve">DB12 @ </t>
  </si>
  <si>
    <t xml:space="preserve">RB9 @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</si>
</sst>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#,##0.000"/>
    <numFmt numFmtId="201" formatCode="_-* #,##0.000_-;\-* #,##0.000_-;_-* &quot;-&quot;??_-;_-@_-"/>
    <numFmt numFmtId="202" formatCode="0.0000"/>
    <numFmt numFmtId="203" formatCode="0.000"/>
    <numFmt numFmtId="204" formatCode="0.00000000"/>
    <numFmt numFmtId="205" formatCode="0.0000000"/>
    <numFmt numFmtId="206" formatCode="0.000000"/>
    <numFmt numFmtId="207" formatCode="0.00000"/>
    <numFmt numFmtId="208" formatCode="0.0"/>
  </numFmts>
  <fonts count="28">
    <font>
      <sz val="12"/>
      <name val="Cordia New"/>
      <family val="0"/>
    </font>
    <font>
      <b/>
      <sz val="14"/>
      <name val="Cordia New"/>
      <family val="2"/>
    </font>
    <font>
      <u val="single"/>
      <sz val="12"/>
      <color indexed="12"/>
      <name val="Cordia New"/>
      <family val="0"/>
    </font>
    <font>
      <u val="single"/>
      <sz val="12"/>
      <color indexed="36"/>
      <name val="Cordia New"/>
      <family val="0"/>
    </font>
    <font>
      <b/>
      <sz val="18"/>
      <name val="Cordia New"/>
      <family val="2"/>
    </font>
    <font>
      <b/>
      <sz val="12"/>
      <name val="Cordia New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u val="single"/>
      <sz val="10"/>
      <name val="Arial"/>
      <family val="2"/>
    </font>
    <font>
      <b/>
      <sz val="9"/>
      <color indexed="10"/>
      <name val="Arial"/>
      <family val="2"/>
    </font>
    <font>
      <vertAlign val="subscript"/>
      <sz val="10"/>
      <name val="Arial"/>
      <family val="2"/>
    </font>
    <font>
      <b/>
      <sz val="9"/>
      <color indexed="56"/>
      <name val="Arial"/>
      <family val="2"/>
    </font>
    <font>
      <i/>
      <vertAlign val="subscript"/>
      <sz val="10"/>
      <name val="Arial"/>
      <family val="2"/>
    </font>
    <font>
      <b/>
      <i/>
      <sz val="10"/>
      <name val="Arial"/>
      <family val="2"/>
    </font>
    <font>
      <b/>
      <sz val="16"/>
      <name val="Cordia New"/>
      <family val="2"/>
    </font>
    <font>
      <sz val="8"/>
      <name val="Arial"/>
      <family val="2"/>
    </font>
    <font>
      <b/>
      <sz val="20"/>
      <name val="Cordia New"/>
      <family val="2"/>
    </font>
    <font>
      <sz val="12"/>
      <color indexed="10"/>
      <name val="Cordia New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0" fontId="0" fillId="0" borderId="0" xfId="0" applyNumberFormat="1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00" fontId="0" fillId="0" borderId="0" xfId="0" applyNumberFormat="1" applyAlignment="1">
      <alignment/>
    </xf>
    <xf numFmtId="4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0" fontId="6" fillId="0" borderId="0" xfId="0" applyFont="1" applyAlignment="1">
      <alignment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 quotePrefix="1">
      <alignment horizontal="left"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203" fontId="8" fillId="0" borderId="0" xfId="0" applyNumberFormat="1" applyFont="1" applyAlignment="1" quotePrefix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99" fontId="8" fillId="0" borderId="0" xfId="0" applyNumberFormat="1" applyFont="1" applyAlignment="1" quotePrefix="1">
      <alignment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2" fontId="8" fillId="0" borderId="0" xfId="0" applyNumberFormat="1" applyFont="1" applyAlignment="1">
      <alignment/>
    </xf>
    <xf numFmtId="199" fontId="8" fillId="0" borderId="0" xfId="0" applyNumberFormat="1" applyFont="1" applyAlignment="1" quotePrefix="1">
      <alignment horizontal="right"/>
    </xf>
    <xf numFmtId="208" fontId="8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208" fontId="8" fillId="0" borderId="0" xfId="0" applyNumberFormat="1" applyFont="1" applyAlignment="1" quotePrefix="1">
      <alignment horizontal="right"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4" fontId="6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8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200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4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4" fontId="8" fillId="0" borderId="0" xfId="0" applyNumberFormat="1" applyFont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2" fontId="14" fillId="0" borderId="19" xfId="0" applyNumberFormat="1" applyFont="1" applyBorder="1" applyAlignment="1">
      <alignment/>
    </xf>
    <xf numFmtId="2" fontId="14" fillId="0" borderId="20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2" fontId="14" fillId="0" borderId="22" xfId="0" applyNumberFormat="1" applyFont="1" applyBorder="1" applyAlignment="1">
      <alignment/>
    </xf>
    <xf numFmtId="2" fontId="14" fillId="0" borderId="23" xfId="0" applyNumberFormat="1" applyFont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2" fontId="14" fillId="0" borderId="19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Alignment="1">
      <alignment/>
    </xf>
    <xf numFmtId="0" fontId="14" fillId="5" borderId="24" xfId="0" applyFont="1" applyFill="1" applyBorder="1" applyAlignment="1">
      <alignment/>
    </xf>
    <xf numFmtId="0" fontId="14" fillId="5" borderId="25" xfId="0" applyFont="1" applyFill="1" applyBorder="1" applyAlignment="1">
      <alignment/>
    </xf>
    <xf numFmtId="0" fontId="19" fillId="5" borderId="24" xfId="0" applyFont="1" applyFill="1" applyBorder="1" applyAlignment="1">
      <alignment/>
    </xf>
    <xf numFmtId="203" fontId="19" fillId="5" borderId="26" xfId="0" applyNumberFormat="1" applyFont="1" applyFill="1" applyBorder="1" applyAlignment="1">
      <alignment/>
    </xf>
    <xf numFmtId="203" fontId="19" fillId="5" borderId="27" xfId="0" applyNumberFormat="1" applyFont="1" applyFill="1" applyBorder="1" applyAlignment="1">
      <alignment/>
    </xf>
    <xf numFmtId="203" fontId="19" fillId="5" borderId="28" xfId="0" applyNumberFormat="1" applyFont="1" applyFill="1" applyBorder="1" applyAlignment="1">
      <alignment/>
    </xf>
    <xf numFmtId="203" fontId="19" fillId="5" borderId="29" xfId="0" applyNumberFormat="1" applyFont="1" applyFill="1" applyBorder="1" applyAlignment="1">
      <alignment/>
    </xf>
    <xf numFmtId="203" fontId="19" fillId="5" borderId="30" xfId="0" applyNumberFormat="1" applyFont="1" applyFill="1" applyBorder="1" applyAlignment="1">
      <alignment/>
    </xf>
    <xf numFmtId="2" fontId="19" fillId="5" borderId="26" xfId="0" applyNumberFormat="1" applyFont="1" applyFill="1" applyBorder="1" applyAlignment="1">
      <alignment/>
    </xf>
    <xf numFmtId="2" fontId="19" fillId="5" borderId="27" xfId="0" applyNumberFormat="1" applyFont="1" applyFill="1" applyBorder="1" applyAlignment="1">
      <alignment/>
    </xf>
    <xf numFmtId="2" fontId="19" fillId="5" borderId="28" xfId="0" applyNumberFormat="1" applyFont="1" applyFill="1" applyBorder="1" applyAlignment="1">
      <alignment/>
    </xf>
    <xf numFmtId="2" fontId="19" fillId="5" borderId="29" xfId="0" applyNumberFormat="1" applyFont="1" applyFill="1" applyBorder="1" applyAlignment="1">
      <alignment/>
    </xf>
    <xf numFmtId="2" fontId="19" fillId="5" borderId="30" xfId="0" applyNumberFormat="1" applyFont="1" applyFill="1" applyBorder="1" applyAlignment="1">
      <alignment/>
    </xf>
    <xf numFmtId="0" fontId="14" fillId="5" borderId="4" xfId="0" applyFont="1" applyFill="1" applyBorder="1" applyAlignment="1">
      <alignment/>
    </xf>
    <xf numFmtId="0" fontId="14" fillId="5" borderId="31" xfId="0" applyFont="1" applyFill="1" applyBorder="1" applyAlignment="1">
      <alignment/>
    </xf>
    <xf numFmtId="0" fontId="19" fillId="5" borderId="32" xfId="0" applyFont="1" applyFill="1" applyBorder="1" applyAlignment="1">
      <alignment/>
    </xf>
    <xf numFmtId="203" fontId="19" fillId="5" borderId="33" xfId="0" applyNumberFormat="1" applyFont="1" applyFill="1" applyBorder="1" applyAlignment="1">
      <alignment/>
    </xf>
    <xf numFmtId="203" fontId="19" fillId="5" borderId="34" xfId="0" applyNumberFormat="1" applyFont="1" applyFill="1" applyBorder="1" applyAlignment="1">
      <alignment/>
    </xf>
    <xf numFmtId="203" fontId="19" fillId="5" borderId="35" xfId="0" applyNumberFormat="1" applyFont="1" applyFill="1" applyBorder="1" applyAlignment="1">
      <alignment/>
    </xf>
    <xf numFmtId="203" fontId="19" fillId="5" borderId="36" xfId="0" applyNumberFormat="1" applyFont="1" applyFill="1" applyBorder="1" applyAlignment="1">
      <alignment/>
    </xf>
    <xf numFmtId="203" fontId="19" fillId="5" borderId="37" xfId="0" applyNumberFormat="1" applyFont="1" applyFill="1" applyBorder="1" applyAlignment="1">
      <alignment/>
    </xf>
    <xf numFmtId="2" fontId="19" fillId="5" borderId="33" xfId="0" applyNumberFormat="1" applyFont="1" applyFill="1" applyBorder="1" applyAlignment="1">
      <alignment/>
    </xf>
    <xf numFmtId="2" fontId="19" fillId="5" borderId="34" xfId="0" applyNumberFormat="1" applyFont="1" applyFill="1" applyBorder="1" applyAlignment="1">
      <alignment/>
    </xf>
    <xf numFmtId="2" fontId="19" fillId="5" borderId="35" xfId="0" applyNumberFormat="1" applyFont="1" applyFill="1" applyBorder="1" applyAlignment="1">
      <alignment/>
    </xf>
    <xf numFmtId="2" fontId="19" fillId="5" borderId="36" xfId="0" applyNumberFormat="1" applyFont="1" applyFill="1" applyBorder="1" applyAlignment="1">
      <alignment/>
    </xf>
    <xf numFmtId="2" fontId="19" fillId="5" borderId="37" xfId="0" applyNumberFormat="1" applyFont="1" applyFill="1" applyBorder="1" applyAlignment="1">
      <alignment/>
    </xf>
    <xf numFmtId="0" fontId="14" fillId="0" borderId="38" xfId="0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right"/>
    </xf>
    <xf numFmtId="0" fontId="14" fillId="0" borderId="44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2" fontId="14" fillId="0" borderId="47" xfId="0" applyNumberFormat="1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0" xfId="0" applyFont="1" applyBorder="1" applyAlignment="1">
      <alignment/>
    </xf>
    <xf numFmtId="2" fontId="14" fillId="0" borderId="49" xfId="0" applyNumberFormat="1" applyFont="1" applyBorder="1" applyAlignment="1">
      <alignment/>
    </xf>
    <xf numFmtId="2" fontId="14" fillId="0" borderId="50" xfId="0" applyNumberFormat="1" applyFont="1" applyBorder="1" applyAlignment="1">
      <alignment/>
    </xf>
    <xf numFmtId="2" fontId="14" fillId="0" borderId="51" xfId="0" applyNumberFormat="1" applyFont="1" applyBorder="1" applyAlignment="1">
      <alignment/>
    </xf>
    <xf numFmtId="2" fontId="14" fillId="0" borderId="52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9" fillId="5" borderId="25" xfId="0" applyFont="1" applyFill="1" applyBorder="1" applyAlignment="1">
      <alignment/>
    </xf>
    <xf numFmtId="2" fontId="19" fillId="5" borderId="25" xfId="0" applyNumberFormat="1" applyFont="1" applyFill="1" applyBorder="1" applyAlignment="1">
      <alignment/>
    </xf>
    <xf numFmtId="3" fontId="8" fillId="0" borderId="0" xfId="15" applyNumberFormat="1" applyFont="1" applyAlignment="1">
      <alignment/>
    </xf>
    <xf numFmtId="0" fontId="14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11" fillId="0" borderId="0" xfId="0" applyFont="1" applyAlignment="1" quotePrefix="1">
      <alignment horizontal="left"/>
    </xf>
    <xf numFmtId="3" fontId="8" fillId="0" borderId="0" xfId="0" applyNumberFormat="1" applyFont="1" applyBorder="1" applyAlignment="1">
      <alignment/>
    </xf>
    <xf numFmtId="0" fontId="8" fillId="3" borderId="0" xfId="0" applyFont="1" applyFill="1" applyAlignment="1" quotePrefix="1">
      <alignment horizontal="left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208" fontId="8" fillId="3" borderId="0" xfId="0" applyNumberFormat="1" applyFont="1" applyFill="1" applyAlignment="1" quotePrefix="1">
      <alignment horizontal="right"/>
    </xf>
    <xf numFmtId="2" fontId="10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10" fillId="3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quotePrefix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/>
    </xf>
    <xf numFmtId="4" fontId="0" fillId="0" borderId="0" xfId="0" applyNumberFormat="1" applyFill="1" applyAlignment="1" quotePrefix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6" fillId="0" borderId="0" xfId="0" applyFont="1" applyFill="1" applyAlignment="1">
      <alignment/>
    </xf>
    <xf numFmtId="3" fontId="25" fillId="0" borderId="0" xfId="0" applyNumberFormat="1" applyFont="1" applyAlignment="1">
      <alignment/>
    </xf>
    <xf numFmtId="0" fontId="8" fillId="2" borderId="0" xfId="0" applyFont="1" applyFill="1" applyAlignment="1" quotePrefix="1">
      <alignment horizontal="left"/>
    </xf>
    <xf numFmtId="0" fontId="8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2" fontId="14" fillId="2" borderId="21" xfId="0" applyNumberFormat="1" applyFont="1" applyFill="1" applyBorder="1" applyAlignment="1">
      <alignment/>
    </xf>
    <xf numFmtId="2" fontId="14" fillId="2" borderId="20" xfId="0" applyNumberFormat="1" applyFont="1" applyFill="1" applyBorder="1" applyAlignment="1">
      <alignment/>
    </xf>
    <xf numFmtId="2" fontId="14" fillId="6" borderId="20" xfId="0" applyNumberFormat="1" applyFont="1" applyFill="1" applyBorder="1" applyAlignment="1">
      <alignment/>
    </xf>
    <xf numFmtId="2" fontId="14" fillId="6" borderId="21" xfId="0" applyNumberFormat="1" applyFont="1" applyFill="1" applyBorder="1" applyAlignment="1">
      <alignment/>
    </xf>
    <xf numFmtId="0" fontId="8" fillId="7" borderId="0" xfId="0" applyFont="1" applyFill="1" applyAlignment="1">
      <alignment/>
    </xf>
    <xf numFmtId="0" fontId="8" fillId="7" borderId="0" xfId="0" applyFont="1" applyFill="1" applyAlignment="1" quotePrefix="1">
      <alignment horizontal="left"/>
    </xf>
    <xf numFmtId="0" fontId="8" fillId="7" borderId="0" xfId="0" applyFont="1" applyFill="1" applyAlignment="1">
      <alignment/>
    </xf>
    <xf numFmtId="0" fontId="11" fillId="7" borderId="0" xfId="0" applyFont="1" applyFill="1" applyAlignment="1">
      <alignment/>
    </xf>
    <xf numFmtId="0" fontId="12" fillId="7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8" fillId="7" borderId="0" xfId="0" applyFont="1" applyFill="1" applyAlignment="1" quotePrefix="1">
      <alignment horizontal="left"/>
    </xf>
    <xf numFmtId="0" fontId="14" fillId="7" borderId="0" xfId="0" applyFont="1" applyFill="1" applyAlignment="1">
      <alignment/>
    </xf>
    <xf numFmtId="4" fontId="8" fillId="7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7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199" fontId="8" fillId="2" borderId="0" xfId="0" applyNumberFormat="1" applyFont="1" applyFill="1" applyAlignment="1" quotePrefix="1">
      <alignment/>
    </xf>
    <xf numFmtId="0" fontId="12" fillId="2" borderId="0" xfId="0" applyFont="1" applyFill="1" applyAlignment="1">
      <alignment horizontal="right"/>
    </xf>
    <xf numFmtId="2" fontId="6" fillId="7" borderId="0" xfId="0" applyNumberFormat="1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left"/>
    </xf>
    <xf numFmtId="0" fontId="6" fillId="7" borderId="0" xfId="0" applyFont="1" applyFill="1" applyAlignment="1">
      <alignment horizontal="right"/>
    </xf>
    <xf numFmtId="0" fontId="10" fillId="7" borderId="0" xfId="0" applyFont="1" applyFill="1" applyAlignment="1">
      <alignment/>
    </xf>
    <xf numFmtId="2" fontId="14" fillId="0" borderId="12" xfId="0" applyNumberFormat="1" applyFont="1" applyBorder="1" applyAlignment="1">
      <alignment/>
    </xf>
    <xf numFmtId="2" fontId="14" fillId="2" borderId="19" xfId="0" applyNumberFormat="1" applyFont="1" applyFill="1" applyBorder="1" applyAlignment="1">
      <alignment/>
    </xf>
    <xf numFmtId="2" fontId="14" fillId="2" borderId="12" xfId="0" applyNumberFormat="1" applyFont="1" applyFill="1" applyBorder="1" applyAlignment="1">
      <alignment/>
    </xf>
    <xf numFmtId="2" fontId="14" fillId="6" borderId="47" xfId="0" applyNumberFormat="1" applyFont="1" applyFill="1" applyBorder="1" applyAlignment="1">
      <alignment/>
    </xf>
    <xf numFmtId="2" fontId="14" fillId="6" borderId="12" xfId="0" applyNumberFormat="1" applyFont="1" applyFill="1" applyBorder="1" applyAlignment="1">
      <alignment/>
    </xf>
    <xf numFmtId="3" fontId="10" fillId="5" borderId="0" xfId="0" applyNumberFormat="1" applyFont="1" applyFill="1" applyAlignment="1">
      <alignment/>
    </xf>
    <xf numFmtId="0" fontId="10" fillId="5" borderId="0" xfId="0" applyFont="1" applyFill="1" applyAlignment="1">
      <alignment/>
    </xf>
    <xf numFmtId="2" fontId="10" fillId="5" borderId="0" xfId="0" applyNumberFormat="1" applyFont="1" applyFill="1" applyAlignment="1">
      <alignment/>
    </xf>
    <xf numFmtId="4" fontId="8" fillId="5" borderId="0" xfId="0" applyNumberFormat="1" applyFont="1" applyFill="1" applyAlignment="1">
      <alignment/>
    </xf>
    <xf numFmtId="2" fontId="17" fillId="5" borderId="54" xfId="0" applyNumberFormat="1" applyFont="1" applyFill="1" applyBorder="1" applyAlignment="1">
      <alignment/>
    </xf>
    <xf numFmtId="2" fontId="17" fillId="5" borderId="55" xfId="0" applyNumberFormat="1" applyFont="1" applyFill="1" applyBorder="1" applyAlignment="1">
      <alignment/>
    </xf>
    <xf numFmtId="2" fontId="17" fillId="5" borderId="56" xfId="0" applyNumberFormat="1" applyFont="1" applyFill="1" applyBorder="1" applyAlignment="1">
      <alignment/>
    </xf>
    <xf numFmtId="2" fontId="17" fillId="5" borderId="57" xfId="0" applyNumberFormat="1" applyFont="1" applyFill="1" applyBorder="1" applyAlignment="1">
      <alignment/>
    </xf>
    <xf numFmtId="2" fontId="17" fillId="5" borderId="58" xfId="0" applyNumberFormat="1" applyFont="1" applyFill="1" applyBorder="1" applyAlignment="1">
      <alignment/>
    </xf>
    <xf numFmtId="2" fontId="8" fillId="8" borderId="0" xfId="0" applyNumberFormat="1" applyFont="1" applyFill="1" applyAlignment="1">
      <alignment/>
    </xf>
    <xf numFmtId="0" fontId="8" fillId="8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6" fillId="0" borderId="0" xfId="0" applyFont="1" applyAlignment="1">
      <alignment/>
    </xf>
    <xf numFmtId="3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24" xfId="0" applyBorder="1" applyAlignment="1">
      <alignment/>
    </xf>
    <xf numFmtId="0" fontId="1" fillId="0" borderId="5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9" xfId="0" applyBorder="1" applyAlignment="1">
      <alignment horizontal="left"/>
    </xf>
    <xf numFmtId="0" fontId="1" fillId="0" borderId="59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3" fontId="0" fillId="0" borderId="59" xfId="0" applyNumberFormat="1" applyBorder="1" applyAlignment="1">
      <alignment/>
    </xf>
    <xf numFmtId="0" fontId="0" fillId="0" borderId="59" xfId="0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3" xfId="0" applyBorder="1" applyAlignment="1">
      <alignment/>
    </xf>
    <xf numFmtId="0" fontId="0" fillId="2" borderId="0" xfId="0" applyFill="1" applyAlignment="1" quotePrefix="1">
      <alignment/>
    </xf>
    <xf numFmtId="0" fontId="0" fillId="7" borderId="0" xfId="0" applyFill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Fill="1" applyBorder="1" applyAlignment="1">
      <alignment/>
    </xf>
    <xf numFmtId="4" fontId="0" fillId="7" borderId="0" xfId="0" applyNumberFormat="1" applyFill="1" applyAlignment="1">
      <alignment/>
    </xf>
    <xf numFmtId="0" fontId="5" fillId="0" borderId="0" xfId="0" applyFont="1" applyAlignment="1" quotePrefix="1">
      <alignment/>
    </xf>
    <xf numFmtId="0" fontId="0" fillId="7" borderId="0" xfId="0" applyFill="1" applyAlignment="1" quotePrefix="1">
      <alignment/>
    </xf>
    <xf numFmtId="0" fontId="0" fillId="7" borderId="0" xfId="0" applyFill="1" applyAlignment="1">
      <alignment horizontal="right"/>
    </xf>
    <xf numFmtId="0" fontId="0" fillId="7" borderId="0" xfId="0" applyFill="1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2" borderId="0" xfId="0" applyFont="1" applyFill="1" applyAlignment="1">
      <alignment/>
    </xf>
    <xf numFmtId="0" fontId="0" fillId="2" borderId="0" xfId="0" applyFill="1" applyAlignment="1">
      <alignment horizontal="right"/>
    </xf>
    <xf numFmtId="4" fontId="27" fillId="0" borderId="0" xfId="0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5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5528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42950" y="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790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742950" y="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790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35528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5314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26732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533400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624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5314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11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6248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62484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62484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674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5934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50006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192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01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4775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14192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34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0012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676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810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5727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676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67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6764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400050</xdr:colOff>
      <xdr:row>33</xdr:row>
      <xdr:rowOff>238125</xdr:rowOff>
    </xdr:from>
    <xdr:to>
      <xdr:col>9</xdr:col>
      <xdr:colOff>114300</xdr:colOff>
      <xdr:row>33</xdr:row>
      <xdr:rowOff>238125</xdr:rowOff>
    </xdr:to>
    <xdr:sp>
      <xdr:nvSpPr>
        <xdr:cNvPr id="245" name="Line 253"/>
        <xdr:cNvSpPr>
          <a:spLocks/>
        </xdr:cNvSpPr>
      </xdr:nvSpPr>
      <xdr:spPr>
        <a:xfrm>
          <a:off x="2505075" y="80010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466725</xdr:colOff>
      <xdr:row>33</xdr:row>
      <xdr:rowOff>238125</xdr:rowOff>
    </xdr:from>
    <xdr:to>
      <xdr:col>7</xdr:col>
      <xdr:colOff>85725</xdr:colOff>
      <xdr:row>33</xdr:row>
      <xdr:rowOff>238125</xdr:rowOff>
    </xdr:to>
    <xdr:sp>
      <xdr:nvSpPr>
        <xdr:cNvPr id="246" name="Line 254"/>
        <xdr:cNvSpPr>
          <a:spLocks/>
        </xdr:cNvSpPr>
      </xdr:nvSpPr>
      <xdr:spPr>
        <a:xfrm flipV="1">
          <a:off x="2571750" y="8001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33</xdr:row>
      <xdr:rowOff>238125</xdr:rowOff>
    </xdr:from>
    <xdr:to>
      <xdr:col>9</xdr:col>
      <xdr:colOff>95250</xdr:colOff>
      <xdr:row>33</xdr:row>
      <xdr:rowOff>238125</xdr:rowOff>
    </xdr:to>
    <xdr:sp>
      <xdr:nvSpPr>
        <xdr:cNvPr id="247" name="Line 255"/>
        <xdr:cNvSpPr>
          <a:spLocks/>
        </xdr:cNvSpPr>
      </xdr:nvSpPr>
      <xdr:spPr>
        <a:xfrm flipV="1">
          <a:off x="3752850" y="80010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447675</xdr:colOff>
      <xdr:row>33</xdr:row>
      <xdr:rowOff>9525</xdr:rowOff>
    </xdr:from>
    <xdr:to>
      <xdr:col>7</xdr:col>
      <xdr:colOff>0</xdr:colOff>
      <xdr:row>33</xdr:row>
      <xdr:rowOff>57150</xdr:rowOff>
    </xdr:to>
    <xdr:sp>
      <xdr:nvSpPr>
        <xdr:cNvPr id="248" name="Line 256"/>
        <xdr:cNvSpPr>
          <a:spLocks/>
        </xdr:cNvSpPr>
      </xdr:nvSpPr>
      <xdr:spPr>
        <a:xfrm flipV="1">
          <a:off x="2552700" y="7772400"/>
          <a:ext cx="952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523875</xdr:colOff>
      <xdr:row>33</xdr:row>
      <xdr:rowOff>0</xdr:rowOff>
    </xdr:from>
    <xdr:to>
      <xdr:col>7</xdr:col>
      <xdr:colOff>76200</xdr:colOff>
      <xdr:row>33</xdr:row>
      <xdr:rowOff>66675</xdr:rowOff>
    </xdr:to>
    <xdr:sp>
      <xdr:nvSpPr>
        <xdr:cNvPr id="249" name="Line 257"/>
        <xdr:cNvSpPr>
          <a:spLocks/>
        </xdr:cNvSpPr>
      </xdr:nvSpPr>
      <xdr:spPr>
        <a:xfrm>
          <a:off x="2628900" y="776287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466725</xdr:colOff>
      <xdr:row>33</xdr:row>
      <xdr:rowOff>238125</xdr:rowOff>
    </xdr:from>
    <xdr:to>
      <xdr:col>9</xdr:col>
      <xdr:colOff>85725</xdr:colOff>
      <xdr:row>33</xdr:row>
      <xdr:rowOff>238125</xdr:rowOff>
    </xdr:to>
    <xdr:sp>
      <xdr:nvSpPr>
        <xdr:cNvPr id="250" name="Line 258"/>
        <xdr:cNvSpPr>
          <a:spLocks/>
        </xdr:cNvSpPr>
      </xdr:nvSpPr>
      <xdr:spPr>
        <a:xfrm flipV="1">
          <a:off x="3762375" y="8001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33</xdr:row>
      <xdr:rowOff>9525</xdr:rowOff>
    </xdr:from>
    <xdr:to>
      <xdr:col>9</xdr:col>
      <xdr:colOff>0</xdr:colOff>
      <xdr:row>33</xdr:row>
      <xdr:rowOff>57150</xdr:rowOff>
    </xdr:to>
    <xdr:sp>
      <xdr:nvSpPr>
        <xdr:cNvPr id="251" name="Line 259"/>
        <xdr:cNvSpPr>
          <a:spLocks/>
        </xdr:cNvSpPr>
      </xdr:nvSpPr>
      <xdr:spPr>
        <a:xfrm flipV="1">
          <a:off x="3743325" y="7772400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33</xdr:row>
      <xdr:rowOff>0</xdr:rowOff>
    </xdr:from>
    <xdr:to>
      <xdr:col>9</xdr:col>
      <xdr:colOff>76200</xdr:colOff>
      <xdr:row>33</xdr:row>
      <xdr:rowOff>66675</xdr:rowOff>
    </xdr:to>
    <xdr:sp>
      <xdr:nvSpPr>
        <xdr:cNvPr id="252" name="Line 260"/>
        <xdr:cNvSpPr>
          <a:spLocks/>
        </xdr:cNvSpPr>
      </xdr:nvSpPr>
      <xdr:spPr>
        <a:xfrm>
          <a:off x="3819525" y="77628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400050</xdr:colOff>
      <xdr:row>43</xdr:row>
      <xdr:rowOff>238125</xdr:rowOff>
    </xdr:from>
    <xdr:to>
      <xdr:col>9</xdr:col>
      <xdr:colOff>114300</xdr:colOff>
      <xdr:row>43</xdr:row>
      <xdr:rowOff>238125</xdr:rowOff>
    </xdr:to>
    <xdr:sp>
      <xdr:nvSpPr>
        <xdr:cNvPr id="253" name="Line 261"/>
        <xdr:cNvSpPr>
          <a:spLocks/>
        </xdr:cNvSpPr>
      </xdr:nvSpPr>
      <xdr:spPr>
        <a:xfrm>
          <a:off x="2505075" y="109347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466725</xdr:colOff>
      <xdr:row>43</xdr:row>
      <xdr:rowOff>238125</xdr:rowOff>
    </xdr:from>
    <xdr:to>
      <xdr:col>7</xdr:col>
      <xdr:colOff>85725</xdr:colOff>
      <xdr:row>43</xdr:row>
      <xdr:rowOff>238125</xdr:rowOff>
    </xdr:to>
    <xdr:sp>
      <xdr:nvSpPr>
        <xdr:cNvPr id="254" name="Line 262"/>
        <xdr:cNvSpPr>
          <a:spLocks/>
        </xdr:cNvSpPr>
      </xdr:nvSpPr>
      <xdr:spPr>
        <a:xfrm flipV="1">
          <a:off x="2571750" y="109347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457200</xdr:colOff>
      <xdr:row>43</xdr:row>
      <xdr:rowOff>238125</xdr:rowOff>
    </xdr:from>
    <xdr:to>
      <xdr:col>9</xdr:col>
      <xdr:colOff>95250</xdr:colOff>
      <xdr:row>43</xdr:row>
      <xdr:rowOff>238125</xdr:rowOff>
    </xdr:to>
    <xdr:sp>
      <xdr:nvSpPr>
        <xdr:cNvPr id="255" name="Line 263"/>
        <xdr:cNvSpPr>
          <a:spLocks/>
        </xdr:cNvSpPr>
      </xdr:nvSpPr>
      <xdr:spPr>
        <a:xfrm flipV="1">
          <a:off x="3752850" y="10934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447675</xdr:colOff>
      <xdr:row>43</xdr:row>
      <xdr:rowOff>9525</xdr:rowOff>
    </xdr:from>
    <xdr:to>
      <xdr:col>7</xdr:col>
      <xdr:colOff>0</xdr:colOff>
      <xdr:row>43</xdr:row>
      <xdr:rowOff>57150</xdr:rowOff>
    </xdr:to>
    <xdr:sp>
      <xdr:nvSpPr>
        <xdr:cNvPr id="256" name="Line 264"/>
        <xdr:cNvSpPr>
          <a:spLocks/>
        </xdr:cNvSpPr>
      </xdr:nvSpPr>
      <xdr:spPr>
        <a:xfrm flipV="1">
          <a:off x="2552700" y="10706100"/>
          <a:ext cx="952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523875</xdr:colOff>
      <xdr:row>43</xdr:row>
      <xdr:rowOff>0</xdr:rowOff>
    </xdr:from>
    <xdr:to>
      <xdr:col>7</xdr:col>
      <xdr:colOff>76200</xdr:colOff>
      <xdr:row>43</xdr:row>
      <xdr:rowOff>66675</xdr:rowOff>
    </xdr:to>
    <xdr:sp>
      <xdr:nvSpPr>
        <xdr:cNvPr id="257" name="Line 265"/>
        <xdr:cNvSpPr>
          <a:spLocks/>
        </xdr:cNvSpPr>
      </xdr:nvSpPr>
      <xdr:spPr>
        <a:xfrm>
          <a:off x="2628900" y="1069657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466725</xdr:colOff>
      <xdr:row>43</xdr:row>
      <xdr:rowOff>238125</xdr:rowOff>
    </xdr:from>
    <xdr:to>
      <xdr:col>9</xdr:col>
      <xdr:colOff>85725</xdr:colOff>
      <xdr:row>43</xdr:row>
      <xdr:rowOff>238125</xdr:rowOff>
    </xdr:to>
    <xdr:sp>
      <xdr:nvSpPr>
        <xdr:cNvPr id="258" name="Line 266"/>
        <xdr:cNvSpPr>
          <a:spLocks/>
        </xdr:cNvSpPr>
      </xdr:nvSpPr>
      <xdr:spPr>
        <a:xfrm flipV="1">
          <a:off x="3762375" y="10934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447675</xdr:colOff>
      <xdr:row>43</xdr:row>
      <xdr:rowOff>9525</xdr:rowOff>
    </xdr:from>
    <xdr:to>
      <xdr:col>9</xdr:col>
      <xdr:colOff>0</xdr:colOff>
      <xdr:row>43</xdr:row>
      <xdr:rowOff>57150</xdr:rowOff>
    </xdr:to>
    <xdr:sp>
      <xdr:nvSpPr>
        <xdr:cNvPr id="259" name="Line 267"/>
        <xdr:cNvSpPr>
          <a:spLocks/>
        </xdr:cNvSpPr>
      </xdr:nvSpPr>
      <xdr:spPr>
        <a:xfrm flipV="1">
          <a:off x="3743325" y="10706100"/>
          <a:ext cx="857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523875</xdr:colOff>
      <xdr:row>43</xdr:row>
      <xdr:rowOff>0</xdr:rowOff>
    </xdr:from>
    <xdr:to>
      <xdr:col>9</xdr:col>
      <xdr:colOff>76200</xdr:colOff>
      <xdr:row>43</xdr:row>
      <xdr:rowOff>66675</xdr:rowOff>
    </xdr:to>
    <xdr:sp>
      <xdr:nvSpPr>
        <xdr:cNvPr id="260" name="Line 268"/>
        <xdr:cNvSpPr>
          <a:spLocks/>
        </xdr:cNvSpPr>
      </xdr:nvSpPr>
      <xdr:spPr>
        <a:xfrm>
          <a:off x="3819525" y="106965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866775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5240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2</xdr:col>
      <xdr:colOff>104775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019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1524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21240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 flipH="1">
          <a:off x="243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21240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 flipH="1">
          <a:off x="243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1240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 flipH="1">
          <a:off x="243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1240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 flipH="1">
          <a:off x="243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1240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 flipH="1">
          <a:off x="243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12407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 flipH="1">
          <a:off x="243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 flipH="1"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1657350" y="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 flipV="1">
          <a:off x="16573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95250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 flipV="1">
          <a:off x="28956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 flipV="1"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165735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466725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 flipV="1">
          <a:off x="29051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 flipV="1">
          <a:off x="28860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622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10001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 flipH="1">
          <a:off x="10477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933450" y="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 flipV="1">
          <a:off x="100012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 flipV="1">
          <a:off x="2114550" y="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 flipV="1">
          <a:off x="9810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105727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 flipV="1">
          <a:off x="21240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 flipV="1">
          <a:off x="21050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1812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 flipH="1">
          <a:off x="1657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64770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11620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2</xdr:col>
      <xdr:colOff>114300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3</xdr:col>
      <xdr:colOff>361950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781050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 flipH="1">
          <a:off x="82867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116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714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 flipV="1">
          <a:off x="78105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 flipV="1">
          <a:off x="17335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 flipV="1">
          <a:off x="7620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838200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 flipV="1">
          <a:off x="17430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18002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127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 flipH="1">
          <a:off x="12763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217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171700" y="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21717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457200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31718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217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1717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31813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466725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318135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34327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6384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27146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20955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 flipV="1">
          <a:off x="2171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1724025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07" name="Line 507"/>
        <xdr:cNvSpPr>
          <a:spLocks/>
        </xdr:cNvSpPr>
      </xdr:nvSpPr>
      <xdr:spPr>
        <a:xfrm>
          <a:off x="14668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217170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509" name="Line 512"/>
        <xdr:cNvSpPr>
          <a:spLocks/>
        </xdr:cNvSpPr>
      </xdr:nvSpPr>
      <xdr:spPr>
        <a:xfrm flipV="1">
          <a:off x="217170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5528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742950" y="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790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742950" y="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790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35528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676275" y="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742950" y="0"/>
          <a:ext cx="2609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40100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239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800100" y="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466725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40195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40767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400050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55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5314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26732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533400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95250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624840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447675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5314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11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85725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 flipV="1">
          <a:off x="62484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62484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8</xdr:col>
      <xdr:colOff>180975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62484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674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59340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133350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H="1">
          <a:off x="50006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245" name="Line 251"/>
        <xdr:cNvSpPr>
          <a:spLocks/>
        </xdr:cNvSpPr>
      </xdr:nvSpPr>
      <xdr:spPr>
        <a:xfrm flipV="1">
          <a:off x="1724025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0</xdr:rowOff>
    </xdr:from>
    <xdr:to>
      <xdr:col>3</xdr:col>
      <xdr:colOff>0</xdr:colOff>
      <xdr:row>23</xdr:row>
      <xdr:rowOff>0</xdr:rowOff>
    </xdr:to>
    <xdr:sp>
      <xdr:nvSpPr>
        <xdr:cNvPr id="246" name="Line 253"/>
        <xdr:cNvSpPr>
          <a:spLocks/>
        </xdr:cNvSpPr>
      </xdr:nvSpPr>
      <xdr:spPr>
        <a:xfrm>
          <a:off x="146685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47" name="Line 278"/>
        <xdr:cNvSpPr>
          <a:spLocks/>
        </xdr:cNvSpPr>
      </xdr:nvSpPr>
      <xdr:spPr>
        <a:xfrm flipV="1">
          <a:off x="2171700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142875</xdr:colOff>
      <xdr:row>44</xdr:row>
      <xdr:rowOff>180975</xdr:rowOff>
    </xdr:from>
    <xdr:to>
      <xdr:col>8</xdr:col>
      <xdr:colOff>47625</xdr:colOff>
      <xdr:row>44</xdr:row>
      <xdr:rowOff>180975</xdr:rowOff>
    </xdr:to>
    <xdr:sp>
      <xdr:nvSpPr>
        <xdr:cNvPr id="248" name="Line 286"/>
        <xdr:cNvSpPr>
          <a:spLocks/>
        </xdr:cNvSpPr>
      </xdr:nvSpPr>
      <xdr:spPr>
        <a:xfrm>
          <a:off x="2105025" y="106203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9525</xdr:rowOff>
    </xdr:from>
    <xdr:to>
      <xdr:col>6</xdr:col>
      <xdr:colOff>0</xdr:colOff>
      <xdr:row>44</xdr:row>
      <xdr:rowOff>57150</xdr:rowOff>
    </xdr:to>
    <xdr:sp>
      <xdr:nvSpPr>
        <xdr:cNvPr id="249" name="Line 289"/>
        <xdr:cNvSpPr>
          <a:spLocks/>
        </xdr:cNvSpPr>
      </xdr:nvSpPr>
      <xdr:spPr>
        <a:xfrm flipV="1">
          <a:off x="2171700" y="10448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44</xdr:row>
      <xdr:rowOff>0</xdr:rowOff>
    </xdr:from>
    <xdr:to>
      <xdr:col>6</xdr:col>
      <xdr:colOff>76200</xdr:colOff>
      <xdr:row>44</xdr:row>
      <xdr:rowOff>66675</xdr:rowOff>
    </xdr:to>
    <xdr:sp>
      <xdr:nvSpPr>
        <xdr:cNvPr id="250" name="Line 290"/>
        <xdr:cNvSpPr>
          <a:spLocks/>
        </xdr:cNvSpPr>
      </xdr:nvSpPr>
      <xdr:spPr>
        <a:xfrm>
          <a:off x="2171700" y="1043940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466725</xdr:colOff>
      <xdr:row>44</xdr:row>
      <xdr:rowOff>9525</xdr:rowOff>
    </xdr:from>
    <xdr:to>
      <xdr:col>8</xdr:col>
      <xdr:colOff>19050</xdr:colOff>
      <xdr:row>44</xdr:row>
      <xdr:rowOff>57150</xdr:rowOff>
    </xdr:to>
    <xdr:sp>
      <xdr:nvSpPr>
        <xdr:cNvPr id="251" name="Line 292"/>
        <xdr:cNvSpPr>
          <a:spLocks/>
        </xdr:cNvSpPr>
      </xdr:nvSpPr>
      <xdr:spPr>
        <a:xfrm flipV="1">
          <a:off x="3181350" y="10448925"/>
          <a:ext cx="2000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628650</xdr:colOff>
      <xdr:row>44</xdr:row>
      <xdr:rowOff>0</xdr:rowOff>
    </xdr:from>
    <xdr:to>
      <xdr:col>8</xdr:col>
      <xdr:colOff>180975</xdr:colOff>
      <xdr:row>44</xdr:row>
      <xdr:rowOff>66675</xdr:rowOff>
    </xdr:to>
    <xdr:sp>
      <xdr:nvSpPr>
        <xdr:cNvPr id="252" name="Line 293"/>
        <xdr:cNvSpPr>
          <a:spLocks/>
        </xdr:cNvSpPr>
      </xdr:nvSpPr>
      <xdr:spPr>
        <a:xfrm>
          <a:off x="3343275" y="10439400"/>
          <a:ext cx="2000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466725</xdr:colOff>
      <xdr:row>43</xdr:row>
      <xdr:rowOff>190500</xdr:rowOff>
    </xdr:from>
    <xdr:to>
      <xdr:col>7</xdr:col>
      <xdr:colOff>0</xdr:colOff>
      <xdr:row>44</xdr:row>
      <xdr:rowOff>9525</xdr:rowOff>
    </xdr:to>
    <xdr:sp>
      <xdr:nvSpPr>
        <xdr:cNvPr id="253" name="Line 294"/>
        <xdr:cNvSpPr>
          <a:spLocks/>
        </xdr:cNvSpPr>
      </xdr:nvSpPr>
      <xdr:spPr>
        <a:xfrm>
          <a:off x="2638425" y="10391775"/>
          <a:ext cx="762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180975</xdr:rowOff>
    </xdr:from>
    <xdr:to>
      <xdr:col>7</xdr:col>
      <xdr:colOff>95250</xdr:colOff>
      <xdr:row>44</xdr:row>
      <xdr:rowOff>9525</xdr:rowOff>
    </xdr:to>
    <xdr:sp>
      <xdr:nvSpPr>
        <xdr:cNvPr id="254" name="Line 295"/>
        <xdr:cNvSpPr>
          <a:spLocks/>
        </xdr:cNvSpPr>
      </xdr:nvSpPr>
      <xdr:spPr>
        <a:xfrm flipH="1">
          <a:off x="2714625" y="103822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5</xdr:col>
      <xdr:colOff>200025</xdr:colOff>
      <xdr:row>44</xdr:row>
      <xdr:rowOff>57150</xdr:rowOff>
    </xdr:to>
    <xdr:sp>
      <xdr:nvSpPr>
        <xdr:cNvPr id="255" name="Line 297"/>
        <xdr:cNvSpPr>
          <a:spLocks/>
        </xdr:cNvSpPr>
      </xdr:nvSpPr>
      <xdr:spPr>
        <a:xfrm flipH="1">
          <a:off x="2095500" y="1043940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256" name="Line 298"/>
        <xdr:cNvSpPr>
          <a:spLocks/>
        </xdr:cNvSpPr>
      </xdr:nvSpPr>
      <xdr:spPr>
        <a:xfrm flipV="1">
          <a:off x="1724025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57" name="Line 299"/>
        <xdr:cNvSpPr>
          <a:spLocks/>
        </xdr:cNvSpPr>
      </xdr:nvSpPr>
      <xdr:spPr>
        <a:xfrm>
          <a:off x="1466850" y="6572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724025" y="993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46" name="Line 246"/>
        <xdr:cNvSpPr>
          <a:spLocks/>
        </xdr:cNvSpPr>
      </xdr:nvSpPr>
      <xdr:spPr>
        <a:xfrm>
          <a:off x="1466850" y="993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46</xdr:row>
      <xdr:rowOff>0</xdr:rowOff>
    </xdr:from>
    <xdr:to>
      <xdr:col>6</xdr:col>
      <xdr:colOff>0</xdr:colOff>
      <xdr:row>46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2171700" y="993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48" name="Line 248"/>
        <xdr:cNvSpPr>
          <a:spLocks/>
        </xdr:cNvSpPr>
      </xdr:nvSpPr>
      <xdr:spPr>
        <a:xfrm flipV="1">
          <a:off x="1724025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249" name="Line 249"/>
        <xdr:cNvSpPr>
          <a:spLocks/>
        </xdr:cNvSpPr>
      </xdr:nvSpPr>
      <xdr:spPr>
        <a:xfrm>
          <a:off x="1466850" y="1065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01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477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6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14668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3450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001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7240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810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572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7240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7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7240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45" name="Line 245"/>
        <xdr:cNvSpPr>
          <a:spLocks/>
        </xdr:cNvSpPr>
      </xdr:nvSpPr>
      <xdr:spPr>
        <a:xfrm flipV="1">
          <a:off x="1724025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200025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246" name="Line 246"/>
        <xdr:cNvSpPr>
          <a:spLocks/>
        </xdr:cNvSpPr>
      </xdr:nvSpPr>
      <xdr:spPr>
        <a:xfrm>
          <a:off x="1466850" y="1157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43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4382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01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0477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01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10477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43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 flipH="1">
          <a:off x="14382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10001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 flipH="1">
          <a:off x="10477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001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 flipH="1">
          <a:off x="10477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143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 flipH="1">
          <a:off x="14382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0012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 flipH="1">
          <a:off x="1047750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43" name="Line 551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44" name="Line 552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45" name="Line 553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6" name="Line 554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47" name="Line 555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48" name="Line 556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9" name="Line 557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50" name="Line 558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51" name="Line 559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52" name="Line 560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53" name="Line 561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4" name="Line 562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55" name="Line 563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56" name="Line 564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57" name="Line 565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58" name="Line 566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59" name="Line 567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60" name="Line 568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61" name="Line 569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2" name="Line 570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63" name="Line 571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64" name="Line 572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65" name="Line 573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66" name="Line 574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67" name="Line 57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68" name="Line 57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69" name="Line 57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0" name="Line 57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71" name="Line 57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72" name="Line 58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3" name="Line 58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4" name="Line 58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83"/>
        <xdr:cNvSpPr>
          <a:spLocks/>
        </xdr:cNvSpPr>
      </xdr:nvSpPr>
      <xdr:spPr>
        <a:xfrm>
          <a:off x="143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576" name="Line 584"/>
        <xdr:cNvSpPr>
          <a:spLocks/>
        </xdr:cNvSpPr>
      </xdr:nvSpPr>
      <xdr:spPr>
        <a:xfrm flipH="1">
          <a:off x="14382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77" name="Line 58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78" name="Line 58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79" name="Line 58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0" name="Line 58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81" name="Line 58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82" name="Line 59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83" name="Line 59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84" name="Line 59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371475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5" name="Line 593"/>
        <xdr:cNvSpPr>
          <a:spLocks/>
        </xdr:cNvSpPr>
      </xdr:nvSpPr>
      <xdr:spPr>
        <a:xfrm>
          <a:off x="143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95250</xdr:colOff>
      <xdr:row>0</xdr:row>
      <xdr:rowOff>0</xdr:rowOff>
    </xdr:to>
    <xdr:sp>
      <xdr:nvSpPr>
        <xdr:cNvPr id="586" name="Line 594"/>
        <xdr:cNvSpPr>
          <a:spLocks/>
        </xdr:cNvSpPr>
      </xdr:nvSpPr>
      <xdr:spPr>
        <a:xfrm flipH="1">
          <a:off x="143827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87" name="Line 595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88" name="Line 596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89" name="Line 597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0" name="Line 598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91" name="Line 599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592" name="Line 600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93" name="Line 601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94" name="Line 602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4</xdr:col>
      <xdr:colOff>114300</xdr:colOff>
      <xdr:row>0</xdr:row>
      <xdr:rowOff>0</xdr:rowOff>
    </xdr:to>
    <xdr:sp>
      <xdr:nvSpPr>
        <xdr:cNvPr id="595" name="Line 603"/>
        <xdr:cNvSpPr>
          <a:spLocks/>
        </xdr:cNvSpPr>
      </xdr:nvSpPr>
      <xdr:spPr>
        <a:xfrm>
          <a:off x="933450" y="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85725</xdr:colOff>
      <xdr:row>0</xdr:row>
      <xdr:rowOff>0</xdr:rowOff>
    </xdr:to>
    <xdr:sp>
      <xdr:nvSpPr>
        <xdr:cNvPr id="596" name="Line 604"/>
        <xdr:cNvSpPr>
          <a:spLocks/>
        </xdr:cNvSpPr>
      </xdr:nvSpPr>
      <xdr:spPr>
        <a:xfrm flipV="1">
          <a:off x="10001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95250</xdr:colOff>
      <xdr:row>0</xdr:row>
      <xdr:rowOff>0</xdr:rowOff>
    </xdr:to>
    <xdr:sp>
      <xdr:nvSpPr>
        <xdr:cNvPr id="597" name="Line 605"/>
        <xdr:cNvSpPr>
          <a:spLocks/>
        </xdr:cNvSpPr>
      </xdr:nvSpPr>
      <xdr:spPr>
        <a:xfrm flipV="1">
          <a:off x="1609725" y="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8" name="Line 606"/>
        <xdr:cNvSpPr>
          <a:spLocks/>
        </xdr:cNvSpPr>
      </xdr:nvSpPr>
      <xdr:spPr>
        <a:xfrm flipV="1">
          <a:off x="9810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76200</xdr:colOff>
      <xdr:row>0</xdr:row>
      <xdr:rowOff>0</xdr:rowOff>
    </xdr:to>
    <xdr:sp>
      <xdr:nvSpPr>
        <xdr:cNvPr id="599" name="Line 607"/>
        <xdr:cNvSpPr>
          <a:spLocks/>
        </xdr:cNvSpPr>
      </xdr:nvSpPr>
      <xdr:spPr>
        <a:xfrm>
          <a:off x="10572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600" name="Line 608"/>
        <xdr:cNvSpPr>
          <a:spLocks/>
        </xdr:cNvSpPr>
      </xdr:nvSpPr>
      <xdr:spPr>
        <a:xfrm flipV="1">
          <a:off x="160972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1" name="Line 609"/>
        <xdr:cNvSpPr>
          <a:spLocks/>
        </xdr:cNvSpPr>
      </xdr:nvSpPr>
      <xdr:spPr>
        <a:xfrm flipV="1"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602" name="Line 610"/>
        <xdr:cNvSpPr>
          <a:spLocks/>
        </xdr:cNvSpPr>
      </xdr:nvSpPr>
      <xdr:spPr>
        <a:xfrm>
          <a:off x="160972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ign-s\&#3650;&#3611;&#3619;&#3649;&#3585;&#3619;&#3617;&#3607;&#3637;&#3656;&#3652;&#3604;&#3657;&#3592;&#3634;&#3585;APP-STONE\FLAT%20SLAB\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t slab_Work (2)"/>
      <sheetName val="flat slab_Work ORIGINAL"/>
    </sheetNames>
    <sheetDataSet>
      <sheetData sheetId="0">
        <row r="38">
          <cell r="D38">
            <v>26286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4"/>
  <sheetViews>
    <sheetView workbookViewId="0" topLeftCell="A1">
      <selection activeCell="V41" sqref="V41"/>
    </sheetView>
  </sheetViews>
  <sheetFormatPr defaultColWidth="9.33203125" defaultRowHeight="18.75"/>
  <cols>
    <col min="1" max="1" width="4.83203125" style="28" customWidth="1"/>
    <col min="2" max="2" width="52.33203125" style="30" customWidth="1"/>
    <col min="3" max="3" width="5" style="30" customWidth="1"/>
    <col min="4" max="4" width="13.5" style="30" customWidth="1"/>
    <col min="5" max="5" width="9.5" style="31" customWidth="1"/>
    <col min="6" max="6" width="9.33203125" style="30" customWidth="1"/>
    <col min="7" max="7" width="9.33203125" style="185" customWidth="1"/>
    <col min="8" max="8" width="5.5" style="30" bestFit="1" customWidth="1"/>
    <col min="9" max="9" width="52" style="30" bestFit="1" customWidth="1"/>
    <col min="10" max="10" width="2.83203125" style="30" bestFit="1" customWidth="1"/>
    <col min="11" max="11" width="10.16015625" style="30" customWidth="1"/>
    <col min="12" max="12" width="7" style="30" bestFit="1" customWidth="1"/>
    <col min="13" max="13" width="9.33203125" style="30" customWidth="1"/>
    <col min="14" max="14" width="9.33203125" style="185" customWidth="1"/>
    <col min="15" max="15" width="10.16015625" style="35" customWidth="1"/>
    <col min="16" max="16" width="11" style="30" bestFit="1" customWidth="1"/>
    <col min="17" max="17" width="10.33203125" style="30" bestFit="1" customWidth="1"/>
    <col min="18" max="18" width="6.5" style="30" customWidth="1"/>
    <col min="19" max="19" width="7.16015625" style="30" customWidth="1"/>
    <col min="20" max="20" width="8.66015625" style="30" customWidth="1"/>
    <col min="21" max="21" width="11.5" style="30" customWidth="1"/>
    <col min="22" max="23" width="8.66015625" style="30" customWidth="1"/>
    <col min="24" max="25" width="9.33203125" style="30" customWidth="1"/>
    <col min="26" max="26" width="10.5" style="30" bestFit="1" customWidth="1"/>
    <col min="27" max="27" width="10.33203125" style="30" bestFit="1" customWidth="1"/>
    <col min="28" max="28" width="5.83203125" style="30" customWidth="1"/>
    <col min="29" max="29" width="7.16015625" style="30" customWidth="1"/>
    <col min="30" max="30" width="8.66015625" style="30" customWidth="1"/>
    <col min="31" max="31" width="11.5" style="30" bestFit="1" customWidth="1"/>
    <col min="32" max="33" width="8.66015625" style="30" customWidth="1"/>
    <col min="34" max="34" width="9.33203125" style="185" customWidth="1"/>
    <col min="35" max="16384" width="9.33203125" style="30" customWidth="1"/>
  </cols>
  <sheetData>
    <row r="1" spans="2:30" ht="15">
      <c r="B1" s="29" t="s">
        <v>387</v>
      </c>
      <c r="O1" s="34"/>
      <c r="P1" s="28"/>
      <c r="Q1" s="33"/>
      <c r="T1" s="28"/>
      <c r="Y1" s="32"/>
      <c r="Z1" s="28"/>
      <c r="AA1" s="33"/>
      <c r="AD1" s="28"/>
    </row>
    <row r="2" spans="8:30" ht="12.75">
      <c r="H2" s="28"/>
      <c r="I2" s="47"/>
      <c r="O2" s="34"/>
      <c r="P2" s="28"/>
      <c r="Q2" s="33"/>
      <c r="R2" s="35"/>
      <c r="T2" s="28"/>
      <c r="U2" s="35"/>
      <c r="V2" s="35"/>
      <c r="W2" s="35"/>
      <c r="X2" s="35"/>
      <c r="Y2" s="32"/>
      <c r="Z2" s="28"/>
      <c r="AA2" s="33"/>
      <c r="AB2" s="35"/>
      <c r="AD2" s="28"/>
    </row>
    <row r="3" spans="1:30" ht="12.75">
      <c r="A3" s="28">
        <v>1</v>
      </c>
      <c r="B3" s="36" t="s">
        <v>197</v>
      </c>
      <c r="C3" s="30" t="s">
        <v>16</v>
      </c>
      <c r="D3" s="211">
        <v>500</v>
      </c>
      <c r="E3" s="31" t="s">
        <v>253</v>
      </c>
      <c r="O3" s="34"/>
      <c r="P3" s="28"/>
      <c r="Q3" s="33"/>
      <c r="R3" s="38"/>
      <c r="T3" s="28"/>
      <c r="U3" s="39"/>
      <c r="V3" s="39"/>
      <c r="W3" s="39"/>
      <c r="X3" s="38"/>
      <c r="Y3" s="32"/>
      <c r="Z3" s="28"/>
      <c r="AA3" s="33"/>
      <c r="AB3" s="38"/>
      <c r="AD3" s="28"/>
    </row>
    <row r="4" spans="1:34" s="42" customFormat="1" ht="12.75">
      <c r="A4" s="40"/>
      <c r="B4" s="41" t="s">
        <v>198</v>
      </c>
      <c r="C4" s="42" t="s">
        <v>31</v>
      </c>
      <c r="D4" s="212">
        <v>280</v>
      </c>
      <c r="E4" s="44" t="s">
        <v>199</v>
      </c>
      <c r="F4" s="41"/>
      <c r="G4" s="186"/>
      <c r="N4" s="187"/>
      <c r="O4" s="34"/>
      <c r="P4" s="28"/>
      <c r="Q4" s="33"/>
      <c r="R4" s="38"/>
      <c r="S4" s="30"/>
      <c r="T4" s="28"/>
      <c r="U4" s="39"/>
      <c r="V4" s="39"/>
      <c r="W4" s="39"/>
      <c r="X4" s="38"/>
      <c r="Y4" s="32"/>
      <c r="Z4" s="28"/>
      <c r="AA4" s="33"/>
      <c r="AB4" s="38"/>
      <c r="AC4" s="30"/>
      <c r="AD4" s="28"/>
      <c r="AH4" s="187"/>
    </row>
    <row r="5" spans="1:34" s="42" customFormat="1" ht="12.75">
      <c r="A5" s="40"/>
      <c r="B5" s="41" t="s">
        <v>200</v>
      </c>
      <c r="C5" s="42" t="s">
        <v>31</v>
      </c>
      <c r="D5" s="211">
        <v>1700</v>
      </c>
      <c r="E5" s="44" t="s">
        <v>199</v>
      </c>
      <c r="F5" s="41"/>
      <c r="G5" s="186"/>
      <c r="H5" s="187"/>
      <c r="I5" s="187"/>
      <c r="J5" s="187"/>
      <c r="K5" s="187"/>
      <c r="L5" s="187"/>
      <c r="M5" s="187"/>
      <c r="N5" s="187"/>
      <c r="O5" s="34"/>
      <c r="P5" s="28"/>
      <c r="Q5" s="33"/>
      <c r="R5" s="38"/>
      <c r="S5" s="30"/>
      <c r="T5" s="28"/>
      <c r="U5" s="39"/>
      <c r="V5" s="39"/>
      <c r="W5" s="39"/>
      <c r="X5" s="38"/>
      <c r="Y5" s="32"/>
      <c r="Z5" s="28"/>
      <c r="AA5" s="33"/>
      <c r="AB5" s="38"/>
      <c r="AC5" s="30"/>
      <c r="AD5" s="28"/>
      <c r="AH5" s="187"/>
    </row>
    <row r="6" spans="1:34" s="42" customFormat="1" ht="12.75">
      <c r="A6" s="40"/>
      <c r="B6" s="42" t="s">
        <v>201</v>
      </c>
      <c r="C6" s="42" t="s">
        <v>31</v>
      </c>
      <c r="D6" s="45">
        <f>1/(1+D5/((2040000/(15120*D4^0.5))*(0.375*D4)))</f>
        <v>0.3324485698158909</v>
      </c>
      <c r="E6" s="44"/>
      <c r="F6" s="41"/>
      <c r="G6" s="186"/>
      <c r="H6" s="28">
        <v>4</v>
      </c>
      <c r="I6" s="47" t="s">
        <v>205</v>
      </c>
      <c r="N6" s="187"/>
      <c r="O6" s="38"/>
      <c r="AH6" s="187"/>
    </row>
    <row r="7" spans="1:34" s="42" customFormat="1" ht="12.75">
      <c r="A7" s="40"/>
      <c r="B7" s="42" t="s">
        <v>202</v>
      </c>
      <c r="C7" s="42" t="s">
        <v>31</v>
      </c>
      <c r="D7" s="45">
        <f>1-D6/3</f>
        <v>0.8891838100613697</v>
      </c>
      <c r="E7" s="44"/>
      <c r="G7" s="187"/>
      <c r="H7" s="28">
        <v>4.1</v>
      </c>
      <c r="I7" s="47" t="s">
        <v>529</v>
      </c>
      <c r="J7" s="30"/>
      <c r="K7" s="30">
        <f>(D22*100+D21*2)*2+(D24*100+D21*2)*2</f>
        <v>1040</v>
      </c>
      <c r="L7" s="137" t="s">
        <v>217</v>
      </c>
      <c r="N7" s="187"/>
      <c r="O7" s="38"/>
      <c r="Q7" s="38"/>
      <c r="R7" s="38"/>
      <c r="S7" s="39"/>
      <c r="T7" s="39"/>
      <c r="U7" s="39"/>
      <c r="V7" s="39"/>
      <c r="W7" s="39"/>
      <c r="X7" s="38"/>
      <c r="AH7" s="187"/>
    </row>
    <row r="8" spans="1:34" s="42" customFormat="1" ht="12.75">
      <c r="A8" s="40"/>
      <c r="B8" s="42" t="s">
        <v>203</v>
      </c>
      <c r="C8" s="42" t="s">
        <v>31</v>
      </c>
      <c r="D8" s="46">
        <f>0.5*0.375*D4*D6*D7</f>
        <v>15.519414012813224</v>
      </c>
      <c r="E8" s="44"/>
      <c r="G8" s="187"/>
      <c r="H8" s="28"/>
      <c r="I8" s="49" t="s">
        <v>530</v>
      </c>
      <c r="J8" s="30" t="s">
        <v>31</v>
      </c>
      <c r="K8" s="50">
        <f>(D11*D12-(D22+D21/100*2)*(D24+D21/100*2))*(D21/100*2400+D3)/K7/D21</f>
        <v>1.748576923076923</v>
      </c>
      <c r="L8" s="31" t="s">
        <v>1</v>
      </c>
      <c r="N8" s="187"/>
      <c r="O8" s="38"/>
      <c r="R8" s="28"/>
      <c r="S8" s="167"/>
      <c r="T8" s="167"/>
      <c r="U8" s="167"/>
      <c r="V8" s="167"/>
      <c r="W8" s="167"/>
      <c r="X8" s="38"/>
      <c r="Y8" s="38"/>
      <c r="Z8" s="38"/>
      <c r="AA8" s="38"/>
      <c r="AB8" s="175"/>
      <c r="AC8" s="167"/>
      <c r="AD8" s="167"/>
      <c r="AE8" s="167"/>
      <c r="AF8" s="167"/>
      <c r="AG8" s="167"/>
      <c r="AH8" s="187"/>
    </row>
    <row r="9" spans="8:33" ht="12.75">
      <c r="H9" s="28"/>
      <c r="I9" s="49" t="s">
        <v>209</v>
      </c>
      <c r="J9" s="30" t="s">
        <v>31</v>
      </c>
      <c r="K9" s="54">
        <f>0.29*D4^0.5</f>
        <v>4.852628153897638</v>
      </c>
      <c r="L9" s="31" t="s">
        <v>1</v>
      </c>
      <c r="M9" s="35"/>
      <c r="R9" s="28"/>
      <c r="S9" s="167"/>
      <c r="T9" s="167"/>
      <c r="U9" s="167"/>
      <c r="V9" s="167"/>
      <c r="W9" s="167"/>
      <c r="X9" s="35"/>
      <c r="Y9" s="35"/>
      <c r="Z9" s="35"/>
      <c r="AA9" s="35"/>
      <c r="AB9" s="175"/>
      <c r="AC9" s="167"/>
      <c r="AD9" s="167"/>
      <c r="AE9" s="167"/>
      <c r="AF9" s="167"/>
      <c r="AG9" s="167"/>
    </row>
    <row r="10" spans="1:12" ht="12.75">
      <c r="A10" s="28">
        <v>2</v>
      </c>
      <c r="B10" s="47" t="s">
        <v>204</v>
      </c>
      <c r="H10" s="28"/>
      <c r="K10" s="57" t="str">
        <f>IF(K9&gt;K8,"OK","NG")</f>
        <v>OK</v>
      </c>
      <c r="L10" s="31"/>
    </row>
    <row r="11" spans="2:34" s="48" customFormat="1" ht="12.75">
      <c r="B11" s="49" t="s">
        <v>206</v>
      </c>
      <c r="C11" s="48" t="s">
        <v>31</v>
      </c>
      <c r="D11" s="213">
        <v>6</v>
      </c>
      <c r="E11" s="31" t="s">
        <v>207</v>
      </c>
      <c r="G11" s="188"/>
      <c r="H11" s="28"/>
      <c r="I11" s="47" t="s">
        <v>528</v>
      </c>
      <c r="J11" s="30"/>
      <c r="K11" s="30">
        <f>(D29*100+D28*2)*2+(D30*100+D28*2)*2</f>
        <v>456</v>
      </c>
      <c r="L11" s="137" t="s">
        <v>217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2:34" s="48" customFormat="1" ht="12.75">
      <c r="B12" s="49" t="s">
        <v>208</v>
      </c>
      <c r="C12" s="48" t="s">
        <v>31</v>
      </c>
      <c r="D12" s="213">
        <v>8</v>
      </c>
      <c r="E12" s="31" t="s">
        <v>207</v>
      </c>
      <c r="G12" s="188"/>
      <c r="H12" s="28"/>
      <c r="I12" s="49" t="s">
        <v>329</v>
      </c>
      <c r="J12" s="30" t="s">
        <v>31</v>
      </c>
      <c r="K12" s="50">
        <f>D35*(D11*D12-(D29+D28/100)*(D30+D28/100))/K11/D28</f>
        <v>3.3659265784732106</v>
      </c>
      <c r="L12" s="31" t="s">
        <v>1</v>
      </c>
      <c r="N12" s="188"/>
      <c r="O12" s="194"/>
      <c r="T12" s="51"/>
      <c r="U12" s="43"/>
      <c r="Y12" s="30"/>
      <c r="Z12" s="30"/>
      <c r="AA12" s="30"/>
      <c r="AB12" s="31"/>
      <c r="AC12" s="30"/>
      <c r="AD12" s="30"/>
      <c r="AE12" s="30"/>
      <c r="AF12" s="30"/>
      <c r="AG12" s="30"/>
      <c r="AH12" s="188"/>
    </row>
    <row r="13" spans="2:34" s="48" customFormat="1" ht="12.75">
      <c r="B13" s="52" t="s">
        <v>270</v>
      </c>
      <c r="C13" s="48" t="s">
        <v>31</v>
      </c>
      <c r="D13" s="53">
        <f>4*2.54</f>
        <v>10.16</v>
      </c>
      <c r="E13" s="31" t="s">
        <v>3</v>
      </c>
      <c r="G13" s="188"/>
      <c r="H13" s="28"/>
      <c r="I13" s="49" t="s">
        <v>209</v>
      </c>
      <c r="J13" s="30" t="s">
        <v>31</v>
      </c>
      <c r="K13" s="54">
        <f>0.29*D4^0.5</f>
        <v>4.852628153897638</v>
      </c>
      <c r="L13" s="31" t="s">
        <v>1</v>
      </c>
      <c r="N13" s="188"/>
      <c r="O13" s="194"/>
      <c r="Y13" s="30"/>
      <c r="Z13" s="30"/>
      <c r="AA13" s="30"/>
      <c r="AB13" s="31"/>
      <c r="AC13" s="30"/>
      <c r="AD13" s="30"/>
      <c r="AE13" s="30"/>
      <c r="AF13" s="30"/>
      <c r="AG13" s="30"/>
      <c r="AH13" s="188"/>
    </row>
    <row r="14" spans="2:30" ht="12.75">
      <c r="B14" s="52" t="s">
        <v>316</v>
      </c>
      <c r="C14" s="30" t="s">
        <v>31</v>
      </c>
      <c r="D14" s="55">
        <f>D12/40*100</f>
        <v>20</v>
      </c>
      <c r="E14" s="31" t="s">
        <v>3</v>
      </c>
      <c r="F14" s="56"/>
      <c r="G14" s="189"/>
      <c r="H14" s="28"/>
      <c r="K14" s="57" t="str">
        <f>IF(K13&gt;K12,"OK","NG")</f>
        <v>OK</v>
      </c>
      <c r="L14" s="31"/>
      <c r="O14" s="175">
        <v>6</v>
      </c>
      <c r="P14" s="36" t="s">
        <v>210</v>
      </c>
      <c r="T14" s="58"/>
      <c r="U14" s="59"/>
      <c r="W14" s="60"/>
      <c r="Y14" s="28">
        <v>7</v>
      </c>
      <c r="Z14" s="36" t="s">
        <v>211</v>
      </c>
      <c r="AD14" s="58"/>
    </row>
    <row r="15" spans="2:24" ht="12.75">
      <c r="B15" s="52" t="s">
        <v>317</v>
      </c>
      <c r="C15" s="30" t="s">
        <v>31</v>
      </c>
      <c r="D15" s="61">
        <f>0.091*D12*(1-(2*D29/3/(D12)))*(141*D35/D4)^0.5+2.54</f>
        <v>19.824330858936175</v>
      </c>
      <c r="E15" s="31" t="s">
        <v>3</v>
      </c>
      <c r="F15" s="56"/>
      <c r="G15" s="189"/>
      <c r="H15" s="28">
        <v>4.2</v>
      </c>
      <c r="I15" s="47" t="s">
        <v>213</v>
      </c>
      <c r="L15" s="31"/>
      <c r="P15" s="62" t="s">
        <v>214</v>
      </c>
      <c r="Q15" s="63"/>
      <c r="R15" s="63"/>
      <c r="S15" s="63"/>
      <c r="T15" s="63" t="s">
        <v>31</v>
      </c>
      <c r="U15" s="64">
        <f>K24</f>
        <v>42554.7184128</v>
      </c>
      <c r="V15" s="65" t="s">
        <v>215</v>
      </c>
      <c r="W15" s="66"/>
      <c r="X15" s="63"/>
    </row>
    <row r="16" spans="2:31" ht="12.75">
      <c r="B16" s="52" t="s">
        <v>318</v>
      </c>
      <c r="C16" s="30" t="s">
        <v>31</v>
      </c>
      <c r="D16" s="61">
        <f>0.106*D12*(1-(2*D29/3/(D12)))*(141*D35/D4)^0.5+3.81</f>
        <v>23.943396385134445</v>
      </c>
      <c r="E16" s="31" t="s">
        <v>3</v>
      </c>
      <c r="F16" s="56"/>
      <c r="G16" s="189"/>
      <c r="H16" s="28"/>
      <c r="I16" s="49" t="s">
        <v>328</v>
      </c>
      <c r="J16" s="30" t="s">
        <v>31</v>
      </c>
      <c r="K16" s="50">
        <f>D35*(D11*D12-(D29+D28/100)*(D30+D28/100))/((D29*100+D28)*2+(D30*100+D28)*2)/D28</f>
        <v>4.98331986942787</v>
      </c>
      <c r="L16" s="31" t="s">
        <v>1</v>
      </c>
      <c r="P16" s="41" t="s">
        <v>330</v>
      </c>
      <c r="Q16" s="63"/>
      <c r="R16" s="63"/>
      <c r="S16" s="63"/>
      <c r="T16" s="42" t="s">
        <v>31</v>
      </c>
      <c r="U16" s="64">
        <f>D28</f>
        <v>37</v>
      </c>
      <c r="V16" s="65" t="s">
        <v>217</v>
      </c>
      <c r="W16" s="63"/>
      <c r="X16" s="63"/>
      <c r="Z16" s="63" t="s">
        <v>218</v>
      </c>
      <c r="AE16" s="64">
        <f>'[1]flat slab_Work (2)'!D38</f>
        <v>26286</v>
      </c>
    </row>
    <row r="17" spans="2:33" ht="12.75">
      <c r="B17" s="177" t="s">
        <v>268</v>
      </c>
      <c r="C17" s="178" t="s">
        <v>31</v>
      </c>
      <c r="D17" s="179">
        <v>28</v>
      </c>
      <c r="E17" s="180" t="s">
        <v>3</v>
      </c>
      <c r="H17" s="28"/>
      <c r="I17" s="49" t="s">
        <v>219</v>
      </c>
      <c r="J17" s="30" t="s">
        <v>31</v>
      </c>
      <c r="K17" s="50">
        <f>0.53*D4^0.5</f>
        <v>8.868596281261201</v>
      </c>
      <c r="L17" s="31" t="s">
        <v>1</v>
      </c>
      <c r="P17" s="67" t="s">
        <v>315</v>
      </c>
      <c r="Q17" s="63"/>
      <c r="R17" s="63"/>
      <c r="S17" s="63"/>
      <c r="T17" s="42" t="s">
        <v>31</v>
      </c>
      <c r="U17" s="64">
        <f>D21</f>
        <v>25</v>
      </c>
      <c r="V17" s="65" t="s">
        <v>217</v>
      </c>
      <c r="Y17" s="63"/>
      <c r="Z17" s="62" t="s">
        <v>214</v>
      </c>
      <c r="AA17" s="63"/>
      <c r="AB17" s="63"/>
      <c r="AC17" s="63"/>
      <c r="AD17" s="63" t="s">
        <v>31</v>
      </c>
      <c r="AE17" s="64">
        <f>K25</f>
        <v>31186.5534464</v>
      </c>
      <c r="AF17" s="68"/>
      <c r="AG17" s="65" t="s">
        <v>215</v>
      </c>
    </row>
    <row r="18" spans="2:33" ht="12.75">
      <c r="B18" s="52"/>
      <c r="D18" s="57" t="str">
        <f>IF(D17&gt;MAX(D14:D15),"OK","NG")</f>
        <v>OK</v>
      </c>
      <c r="F18" s="56"/>
      <c r="G18" s="189"/>
      <c r="H18" s="28"/>
      <c r="I18" s="49"/>
      <c r="K18" s="57" t="str">
        <f>IF(K17&gt;K16,"OK","NG")</f>
        <v>OK</v>
      </c>
      <c r="L18" s="31"/>
      <c r="P18" s="63" t="s">
        <v>220</v>
      </c>
      <c r="Q18" s="63" t="s">
        <v>332</v>
      </c>
      <c r="R18" s="63"/>
      <c r="S18" s="63"/>
      <c r="T18" s="63" t="s">
        <v>31</v>
      </c>
      <c r="U18" s="69">
        <f>D11/2</f>
        <v>3</v>
      </c>
      <c r="V18" s="65" t="s">
        <v>207</v>
      </c>
      <c r="W18" s="63"/>
      <c r="X18" s="63"/>
      <c r="Y18" s="63"/>
      <c r="Z18" s="63" t="s">
        <v>220</v>
      </c>
      <c r="AA18" s="63" t="s">
        <v>333</v>
      </c>
      <c r="AB18" s="63"/>
      <c r="AC18" s="63"/>
      <c r="AD18" s="63" t="s">
        <v>31</v>
      </c>
      <c r="AE18" s="69">
        <f>D12/2</f>
        <v>4</v>
      </c>
      <c r="AF18" s="63"/>
      <c r="AG18" s="65" t="s">
        <v>207</v>
      </c>
    </row>
    <row r="19" spans="2:33" ht="12.75">
      <c r="B19" s="52" t="s">
        <v>319</v>
      </c>
      <c r="C19" s="30" t="s">
        <v>31</v>
      </c>
      <c r="D19" s="30">
        <f>D17*1.5</f>
        <v>42</v>
      </c>
      <c r="E19" s="31" t="s">
        <v>3</v>
      </c>
      <c r="F19" s="56"/>
      <c r="G19" s="189"/>
      <c r="H19" s="28"/>
      <c r="I19" s="49" t="s">
        <v>335</v>
      </c>
      <c r="J19" s="30" t="s">
        <v>31</v>
      </c>
      <c r="K19" s="50">
        <f>D35*(D11*D12-((D22+D21/100)*(D24+D21/100)))/(((D22*100+D21)+(D24*100+D21))*2*D21)</f>
        <v>2.1698918978723407</v>
      </c>
      <c r="L19" s="31" t="s">
        <v>1</v>
      </c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70"/>
      <c r="AF19" s="63"/>
      <c r="AG19" s="63"/>
    </row>
    <row r="20" spans="2:33" ht="12.75">
      <c r="B20" s="52" t="s">
        <v>222</v>
      </c>
      <c r="C20" s="30" t="s">
        <v>31</v>
      </c>
      <c r="D20" s="30">
        <v>3</v>
      </c>
      <c r="E20" s="31" t="s">
        <v>3</v>
      </c>
      <c r="H20" s="28"/>
      <c r="I20" s="49" t="s">
        <v>219</v>
      </c>
      <c r="J20" s="30" t="s">
        <v>31</v>
      </c>
      <c r="K20" s="50">
        <f>0.53*D4^0.5</f>
        <v>8.868596281261201</v>
      </c>
      <c r="L20" s="31" t="s">
        <v>1</v>
      </c>
      <c r="P20" s="71"/>
      <c r="Q20" s="72"/>
      <c r="R20" s="266" t="s">
        <v>223</v>
      </c>
      <c r="S20" s="270"/>
      <c r="T20" s="270"/>
      <c r="U20" s="267"/>
      <c r="V20" s="266" t="s">
        <v>224</v>
      </c>
      <c r="W20" s="267"/>
      <c r="X20" s="63"/>
      <c r="Y20" s="63"/>
      <c r="Z20" s="71"/>
      <c r="AA20" s="72"/>
      <c r="AB20" s="266" t="s">
        <v>223</v>
      </c>
      <c r="AC20" s="270"/>
      <c r="AD20" s="270"/>
      <c r="AE20" s="267"/>
      <c r="AF20" s="266" t="s">
        <v>224</v>
      </c>
      <c r="AG20" s="267"/>
    </row>
    <row r="21" spans="2:33" ht="12.75">
      <c r="B21" s="52" t="s">
        <v>276</v>
      </c>
      <c r="C21" s="30" t="s">
        <v>31</v>
      </c>
      <c r="D21" s="221">
        <f>D17-D20</f>
        <v>25</v>
      </c>
      <c r="E21" s="31" t="s">
        <v>3</v>
      </c>
      <c r="H21" s="28"/>
      <c r="I21" s="49"/>
      <c r="K21" s="57" t="str">
        <f>IF(K20&gt;K19,"OK","NG")</f>
        <v>OK</v>
      </c>
      <c r="L21" s="31"/>
      <c r="P21" s="73"/>
      <c r="Q21" s="74"/>
      <c r="R21" s="268" t="s">
        <v>225</v>
      </c>
      <c r="S21" s="269"/>
      <c r="T21" s="75" t="s">
        <v>226</v>
      </c>
      <c r="U21" s="76" t="s">
        <v>225</v>
      </c>
      <c r="V21" s="77" t="s">
        <v>226</v>
      </c>
      <c r="W21" s="78" t="s">
        <v>225</v>
      </c>
      <c r="X21" s="63"/>
      <c r="Y21" s="63"/>
      <c r="Z21" s="73"/>
      <c r="AA21" s="74"/>
      <c r="AB21" s="268" t="s">
        <v>225</v>
      </c>
      <c r="AC21" s="269"/>
      <c r="AD21" s="75" t="s">
        <v>226</v>
      </c>
      <c r="AE21" s="76" t="s">
        <v>225</v>
      </c>
      <c r="AF21" s="77" t="s">
        <v>226</v>
      </c>
      <c r="AG21" s="78" t="s">
        <v>225</v>
      </c>
    </row>
    <row r="22" spans="2:33" ht="12.75">
      <c r="B22" s="52" t="s">
        <v>322</v>
      </c>
      <c r="C22" s="30" t="s">
        <v>31</v>
      </c>
      <c r="D22" s="213">
        <v>1.8</v>
      </c>
      <c r="E22" s="31" t="s">
        <v>207</v>
      </c>
      <c r="F22" s="28">
        <f>D11*0.3</f>
        <v>1.7999999999999998</v>
      </c>
      <c r="G22" s="190"/>
      <c r="H22" s="28">
        <v>4.3</v>
      </c>
      <c r="I22" s="36" t="s">
        <v>228</v>
      </c>
      <c r="K22" s="58"/>
      <c r="L22" s="31"/>
      <c r="P22" s="79" t="s">
        <v>229</v>
      </c>
      <c r="Q22" s="80" t="s">
        <v>230</v>
      </c>
      <c r="R22" s="81"/>
      <c r="S22" s="215">
        <v>0.36</v>
      </c>
      <c r="T22" s="216">
        <v>0.24</v>
      </c>
      <c r="U22" s="217">
        <v>0.56</v>
      </c>
      <c r="V22" s="218">
        <v>0.2</v>
      </c>
      <c r="W22" s="219">
        <v>0.5</v>
      </c>
      <c r="X22" s="63"/>
      <c r="Y22" s="63"/>
      <c r="Z22" s="79" t="s">
        <v>231</v>
      </c>
      <c r="AA22" s="80" t="s">
        <v>230</v>
      </c>
      <c r="AB22" s="81"/>
      <c r="AC22" s="215">
        <f>S22</f>
        <v>0.36</v>
      </c>
      <c r="AD22" s="216">
        <f>T22</f>
        <v>0.24</v>
      </c>
      <c r="AE22" s="217">
        <f>U22</f>
        <v>0.56</v>
      </c>
      <c r="AF22" s="218">
        <f>V22</f>
        <v>0.2</v>
      </c>
      <c r="AG22" s="219">
        <f>W22</f>
        <v>0.5</v>
      </c>
    </row>
    <row r="23" spans="2:33" ht="12.75">
      <c r="B23" s="52"/>
      <c r="D23" s="57" t="str">
        <f>IF(AND(D22&gt;=0.3*D11,D22&lt;=0.4*D11),"OK","NG")</f>
        <v>OK</v>
      </c>
      <c r="F23" s="56"/>
      <c r="G23" s="189"/>
      <c r="H23" s="28"/>
      <c r="I23" s="49" t="s">
        <v>232</v>
      </c>
      <c r="J23" s="30" t="s">
        <v>31</v>
      </c>
      <c r="K23" s="214">
        <v>1.1</v>
      </c>
      <c r="L23" s="31" t="s">
        <v>271</v>
      </c>
      <c r="M23" s="82">
        <f>1.15-D29/D12</f>
        <v>1.0999999999999999</v>
      </c>
      <c r="N23" s="193"/>
      <c r="O23" s="195"/>
      <c r="P23" s="83"/>
      <c r="Q23" s="84" t="s">
        <v>233</v>
      </c>
      <c r="R23" s="85"/>
      <c r="S23" s="86">
        <f>S22*U15</f>
        <v>15319.698628608</v>
      </c>
      <c r="T23" s="87">
        <f>T22*U15</f>
        <v>10213.132419072</v>
      </c>
      <c r="U23" s="88">
        <f>U22*U15</f>
        <v>23830.642311168</v>
      </c>
      <c r="V23" s="89">
        <f>V22*U15</f>
        <v>8510.94368256</v>
      </c>
      <c r="W23" s="90">
        <f>W22*U15</f>
        <v>21277.3592064</v>
      </c>
      <c r="X23" s="63"/>
      <c r="Y23" s="63"/>
      <c r="Z23" s="83"/>
      <c r="AA23" s="84" t="s">
        <v>233</v>
      </c>
      <c r="AB23" s="85"/>
      <c r="AC23" s="86">
        <f>AC22*AE17</f>
        <v>11227.159240704</v>
      </c>
      <c r="AD23" s="87">
        <f>AD22*AE17</f>
        <v>7484.772827136</v>
      </c>
      <c r="AE23" s="88">
        <f>AE22*AE17</f>
        <v>17464.469929984003</v>
      </c>
      <c r="AF23" s="89">
        <f>AF22*AE17</f>
        <v>6237.310689280001</v>
      </c>
      <c r="AG23" s="90">
        <f>AG22*AE17</f>
        <v>15593.2767232</v>
      </c>
    </row>
    <row r="24" spans="2:33" ht="12.75">
      <c r="B24" s="52" t="s">
        <v>321</v>
      </c>
      <c r="C24" s="30" t="s">
        <v>31</v>
      </c>
      <c r="D24" s="213">
        <v>2.4</v>
      </c>
      <c r="E24" s="31" t="s">
        <v>207</v>
      </c>
      <c r="F24" s="28">
        <f>D12*0.3</f>
        <v>2.4</v>
      </c>
      <c r="G24" s="190"/>
      <c r="H24" s="28"/>
      <c r="I24" s="52" t="s">
        <v>235</v>
      </c>
      <c r="J24" s="30" t="s">
        <v>31</v>
      </c>
      <c r="K24" s="58">
        <f>0.09*K23*D38*D12*(1-2*D29/(3*D12))^2</f>
        <v>42554.7184128</v>
      </c>
      <c r="L24" s="31" t="s">
        <v>215</v>
      </c>
      <c r="P24" s="83"/>
      <c r="Q24" s="84" t="s">
        <v>236</v>
      </c>
      <c r="R24" s="85"/>
      <c r="S24" s="91">
        <f>S23*100/D5/D7/D28</f>
        <v>27.39100894922824</v>
      </c>
      <c r="T24" s="92">
        <f>T23*100/D5/D7/D21</f>
        <v>27.025795496571863</v>
      </c>
      <c r="U24" s="91">
        <f>U23*100/D5/D7/D28</f>
        <v>42.60823614324393</v>
      </c>
      <c r="V24" s="94">
        <f>V23*100/D5/D7/D21</f>
        <v>22.521496247143222</v>
      </c>
      <c r="W24" s="95">
        <f>W23*100/D5/D7/D28</f>
        <v>38.04306798503922</v>
      </c>
      <c r="X24" s="63"/>
      <c r="Y24" s="63"/>
      <c r="Z24" s="83"/>
      <c r="AA24" s="84" t="s">
        <v>236</v>
      </c>
      <c r="AB24" s="85"/>
      <c r="AC24" s="91">
        <f>AC23*100/D5/D7/D28</f>
        <v>20.073712067825216</v>
      </c>
      <c r="AD24" s="92">
        <f>AD23*100/D5/D7/D21</f>
        <v>19.806062573587543</v>
      </c>
      <c r="AE24" s="93">
        <f>AE23*100/D5/D7/D28</f>
        <v>31.225774327728114</v>
      </c>
      <c r="AF24" s="94">
        <f>AF23*100/D5/D7/D21</f>
        <v>16.50505214465629</v>
      </c>
      <c r="AG24" s="95">
        <f>AG23*100/D5/D7/D28</f>
        <v>27.880155649757246</v>
      </c>
    </row>
    <row r="25" spans="2:33" ht="12.75">
      <c r="B25" s="52"/>
      <c r="D25" s="57" t="str">
        <f>IF(AND(D24&gt;=0.3*D12,D24&lt;=0.4*D12),"OK","NG")</f>
        <v>OK</v>
      </c>
      <c r="F25" s="56"/>
      <c r="G25" s="189"/>
      <c r="H25" s="28"/>
      <c r="I25" s="52" t="s">
        <v>237</v>
      </c>
      <c r="J25" s="30" t="s">
        <v>31</v>
      </c>
      <c r="K25" s="58">
        <f>0.09*K23*D38*D11*(1-2*D29/(3*D11))^2</f>
        <v>31186.5534464</v>
      </c>
      <c r="L25" s="31" t="s">
        <v>215</v>
      </c>
      <c r="P25" s="96"/>
      <c r="Q25" s="97" t="s">
        <v>238</v>
      </c>
      <c r="R25" s="98" t="s">
        <v>239</v>
      </c>
      <c r="S25" s="99">
        <f>1/(S24/1.13/U18)</f>
        <v>0.1237632394733497</v>
      </c>
      <c r="T25" s="182">
        <f>1/(T24/1.13/U18)</f>
        <v>0.12543571568244904</v>
      </c>
      <c r="U25" s="181">
        <f>1/(U24/1.13/U18)</f>
        <v>0.07956208251858196</v>
      </c>
      <c r="V25" s="100">
        <f>1/(V24/1.13/U18)</f>
        <v>0.15052285881893882</v>
      </c>
      <c r="W25" s="101">
        <f>1/(W24/1.13/U18)</f>
        <v>0.08910953242081178</v>
      </c>
      <c r="X25" s="102"/>
      <c r="Y25" s="63"/>
      <c r="Z25" s="83"/>
      <c r="AA25" s="84" t="s">
        <v>238</v>
      </c>
      <c r="AB25" s="98" t="s">
        <v>239</v>
      </c>
      <c r="AC25" s="99">
        <f>1/(AC24/1.13/AE18)</f>
        <v>0.22517011227060485</v>
      </c>
      <c r="AD25" s="182">
        <f>1/(AD24/1.13/AE18)</f>
        <v>0.2282129516256131</v>
      </c>
      <c r="AE25" s="181">
        <f>1/(AE24/1.13/AE18)</f>
        <v>0.14475221503110314</v>
      </c>
      <c r="AF25" s="100">
        <f>1/(AF24/1.13/AE18)</f>
        <v>0.27385554195073564</v>
      </c>
      <c r="AG25" s="101">
        <f>1/(AG24/1.13/AE18)</f>
        <v>0.1621224808348355</v>
      </c>
    </row>
    <row r="26" spans="2:33" ht="12.75">
      <c r="B26" s="177" t="s">
        <v>320</v>
      </c>
      <c r="C26" s="178" t="s">
        <v>31</v>
      </c>
      <c r="D26" s="179">
        <v>40</v>
      </c>
      <c r="E26" s="180" t="s">
        <v>3</v>
      </c>
      <c r="H26" s="28"/>
      <c r="I26" s="52"/>
      <c r="K26" s="58"/>
      <c r="L26" s="31"/>
      <c r="P26" s="83"/>
      <c r="Q26" s="84" t="s">
        <v>242</v>
      </c>
      <c r="R26" s="85" t="s">
        <v>337</v>
      </c>
      <c r="S26" s="91">
        <f>U18/(S24/2.01)</f>
        <v>0.22014523127560437</v>
      </c>
      <c r="T26" s="207">
        <f>U18/(T24/2.01)</f>
        <v>0.2231201668333828</v>
      </c>
      <c r="U26" s="208">
        <f>U18/(U24/2.01)</f>
        <v>0.14152193439145994</v>
      </c>
      <c r="V26" s="91">
        <f>U18/(V24/2.01)</f>
        <v>0.26774420020005935</v>
      </c>
      <c r="W26" s="206">
        <f>U18/(W24/2.01)</f>
        <v>0.1585045665184351</v>
      </c>
      <c r="X26" s="63"/>
      <c r="Y26" s="63"/>
      <c r="Z26" s="83"/>
      <c r="AA26" s="84" t="s">
        <v>242</v>
      </c>
      <c r="AB26" s="85" t="s">
        <v>337</v>
      </c>
      <c r="AC26" s="91">
        <f>AE18/(AC24/2.01)</f>
        <v>0.4005238280211644</v>
      </c>
      <c r="AD26" s="207">
        <f>AE18/(AD24/2.01)</f>
        <v>0.40593631218361265</v>
      </c>
      <c r="AE26" s="208">
        <f>AE18/(AE24/2.01)</f>
        <v>0.2574796037278914</v>
      </c>
      <c r="AF26" s="91">
        <f>AE18/(AF24/2.01)</f>
        <v>0.48712357462033506</v>
      </c>
      <c r="AG26" s="206">
        <f>AE18/(AG24/2.01)</f>
        <v>0.28837715617523835</v>
      </c>
    </row>
    <row r="27" spans="2:33" ht="12.75">
      <c r="B27" s="52"/>
      <c r="D27" s="57" t="str">
        <f>IF(D26&gt;D16,"OK","NG")</f>
        <v>OK</v>
      </c>
      <c r="F27" s="56"/>
      <c r="G27" s="189"/>
      <c r="H27" s="28"/>
      <c r="I27" s="103" t="s">
        <v>243</v>
      </c>
      <c r="L27" s="31"/>
      <c r="P27" s="104"/>
      <c r="Q27" s="105" t="s">
        <v>244</v>
      </c>
      <c r="R27" s="106"/>
      <c r="S27" s="107"/>
      <c r="T27" s="108"/>
      <c r="U27" s="109"/>
      <c r="V27" s="110"/>
      <c r="W27" s="111"/>
      <c r="X27" s="63"/>
      <c r="Y27" s="63"/>
      <c r="Z27" s="104"/>
      <c r="AA27" s="105" t="s">
        <v>244</v>
      </c>
      <c r="AB27" s="106"/>
      <c r="AC27" s="112"/>
      <c r="AD27" s="113"/>
      <c r="AE27" s="114"/>
      <c r="AF27" s="115"/>
      <c r="AG27" s="116"/>
    </row>
    <row r="28" spans="2:33" ht="15.75">
      <c r="B28" s="52" t="s">
        <v>331</v>
      </c>
      <c r="C28" s="30" t="s">
        <v>31</v>
      </c>
      <c r="D28" s="221">
        <f>D26-D20</f>
        <v>37</v>
      </c>
      <c r="E28" s="31" t="s">
        <v>3</v>
      </c>
      <c r="H28" s="28"/>
      <c r="I28" s="52" t="s">
        <v>245</v>
      </c>
      <c r="J28" s="30" t="s">
        <v>31</v>
      </c>
      <c r="K28" s="58">
        <f>0.083*D17^3*K33/(0.5+D36/D37)</f>
        <v>0</v>
      </c>
      <c r="L28" s="31" t="s">
        <v>157</v>
      </c>
      <c r="M28" s="30" t="s">
        <v>272</v>
      </c>
      <c r="P28" s="117"/>
      <c r="Q28" s="118"/>
      <c r="R28" s="119"/>
      <c r="S28" s="120"/>
      <c r="T28" s="121"/>
      <c r="U28" s="122"/>
      <c r="V28" s="123"/>
      <c r="W28" s="124"/>
      <c r="X28" s="63"/>
      <c r="Y28" s="63"/>
      <c r="Z28" s="117"/>
      <c r="AA28" s="118"/>
      <c r="AB28" s="119"/>
      <c r="AC28" s="125"/>
      <c r="AD28" s="126"/>
      <c r="AE28" s="127"/>
      <c r="AF28" s="128"/>
      <c r="AG28" s="129"/>
    </row>
    <row r="29" spans="2:33" ht="12.75">
      <c r="B29" s="49" t="s">
        <v>246</v>
      </c>
      <c r="C29" s="30" t="s">
        <v>31</v>
      </c>
      <c r="D29" s="212">
        <v>0.4</v>
      </c>
      <c r="E29" s="31" t="s">
        <v>207</v>
      </c>
      <c r="H29" s="28"/>
      <c r="I29" s="30" t="s">
        <v>338</v>
      </c>
      <c r="J29" s="30" t="s">
        <v>31</v>
      </c>
      <c r="K29" s="176">
        <f>1/12*D30*100*(D29*100)^3</f>
        <v>213333.33333333334</v>
      </c>
      <c r="L29" s="31" t="s">
        <v>157</v>
      </c>
      <c r="P29" s="71" t="s">
        <v>247</v>
      </c>
      <c r="Q29" s="72" t="s">
        <v>230</v>
      </c>
      <c r="R29" s="130"/>
      <c r="S29" s="131">
        <v>0.2</v>
      </c>
      <c r="T29" s="132">
        <v>0.2</v>
      </c>
      <c r="U29" s="133">
        <f>0.17*1.3</f>
        <v>0.22100000000000003</v>
      </c>
      <c r="V29" s="134">
        <v>0.15</v>
      </c>
      <c r="W29" s="135">
        <f>0.15*1.3</f>
        <v>0.195</v>
      </c>
      <c r="X29" s="63"/>
      <c r="Y29" s="63"/>
      <c r="Z29" s="71" t="s">
        <v>247</v>
      </c>
      <c r="AA29" s="72" t="s">
        <v>230</v>
      </c>
      <c r="AB29" s="130"/>
      <c r="AC29" s="131">
        <v>0.2</v>
      </c>
      <c r="AD29" s="132">
        <v>0.2</v>
      </c>
      <c r="AE29" s="133">
        <f>0.17*1.3</f>
        <v>0.22100000000000003</v>
      </c>
      <c r="AF29" s="134">
        <v>0.15</v>
      </c>
      <c r="AG29" s="135">
        <f>0.15*1.3</f>
        <v>0.195</v>
      </c>
    </row>
    <row r="30" spans="2:33" ht="12.75">
      <c r="B30" s="49" t="s">
        <v>248</v>
      </c>
      <c r="C30" s="30" t="s">
        <v>31</v>
      </c>
      <c r="D30" s="212">
        <v>0.4</v>
      </c>
      <c r="E30" s="31" t="s">
        <v>207</v>
      </c>
      <c r="H30" s="28"/>
      <c r="K30" s="57" t="str">
        <f>IF(K29&gt;K28,"OK","NG")</f>
        <v>OK</v>
      </c>
      <c r="L30" s="31"/>
      <c r="P30" s="83"/>
      <c r="Q30" s="84" t="s">
        <v>233</v>
      </c>
      <c r="R30" s="85"/>
      <c r="S30" s="86">
        <f>S29*U15</f>
        <v>8510.94368256</v>
      </c>
      <c r="T30" s="87">
        <f>T29*U15</f>
        <v>8510.94368256</v>
      </c>
      <c r="U30" s="88">
        <f>U29*U15</f>
        <v>9404.592769228802</v>
      </c>
      <c r="V30" s="89">
        <f>V29*U15</f>
        <v>6383.20776192</v>
      </c>
      <c r="W30" s="90">
        <f>W29*U15</f>
        <v>8298.170090496</v>
      </c>
      <c r="X30" s="63"/>
      <c r="Y30" s="63"/>
      <c r="Z30" s="83"/>
      <c r="AA30" s="84" t="s">
        <v>233</v>
      </c>
      <c r="AB30" s="85"/>
      <c r="AC30" s="86">
        <f>AC29*AE17</f>
        <v>6237.310689280001</v>
      </c>
      <c r="AD30" s="87">
        <f>AD29*AE17</f>
        <v>6237.310689280001</v>
      </c>
      <c r="AE30" s="88">
        <f>AE29*AE17</f>
        <v>6892.228311654401</v>
      </c>
      <c r="AF30" s="89">
        <f>AF29*AE17</f>
        <v>4677.98301696</v>
      </c>
      <c r="AG30" s="90">
        <f>AG29*AE17</f>
        <v>6081.377922048</v>
      </c>
    </row>
    <row r="31" spans="2:33" ht="12.75">
      <c r="B31" s="52"/>
      <c r="D31" s="31"/>
      <c r="H31" s="28"/>
      <c r="I31" s="136" t="s">
        <v>249</v>
      </c>
      <c r="L31" s="31"/>
      <c r="P31" s="83"/>
      <c r="Q31" s="84" t="s">
        <v>236</v>
      </c>
      <c r="R31" s="85"/>
      <c r="S31" s="91">
        <f>S30*100/D5/D7/D21</f>
        <v>22.521496247143222</v>
      </c>
      <c r="T31" s="92">
        <f>T30*100/D5/D7/D21</f>
        <v>22.521496247143222</v>
      </c>
      <c r="U31" s="93">
        <f>U30*100/D5/D7/D21</f>
        <v>24.886253353093263</v>
      </c>
      <c r="V31" s="94">
        <f>V30*100/D5/D7/D21</f>
        <v>16.891122185357414</v>
      </c>
      <c r="W31" s="95">
        <f>W30*100/D5/D7/D21</f>
        <v>21.958458840964635</v>
      </c>
      <c r="X31" s="63"/>
      <c r="Y31" s="63"/>
      <c r="Z31" s="83"/>
      <c r="AA31" s="84" t="s">
        <v>236</v>
      </c>
      <c r="AB31" s="85"/>
      <c r="AC31" s="91">
        <f>AC30*100/D5/D7/D21</f>
        <v>16.50505214465629</v>
      </c>
      <c r="AD31" s="92">
        <f>AD30*100/D5/D7/D21</f>
        <v>16.50505214465629</v>
      </c>
      <c r="AE31" s="93">
        <f>AE30*100/D5/D7/D21</f>
        <v>18.2380826198452</v>
      </c>
      <c r="AF31" s="94">
        <f>AF30*100/D5/D7/D21</f>
        <v>12.378789108492215</v>
      </c>
      <c r="AG31" s="95">
        <f>AG30*100/D5/D7/D21</f>
        <v>16.09242584103988</v>
      </c>
    </row>
    <row r="32" spans="1:33" ht="15.75">
      <c r="A32" s="28">
        <v>3</v>
      </c>
      <c r="B32" s="47" t="s">
        <v>250</v>
      </c>
      <c r="H32" s="28"/>
      <c r="I32" s="52" t="s">
        <v>251</v>
      </c>
      <c r="J32" s="30" t="s">
        <v>31</v>
      </c>
      <c r="K32" s="58">
        <f>(2-2.3*K34/K35)*(0.083*D17^3*K35/(0.5+D36/D37))</f>
        <v>103794.4805468816</v>
      </c>
      <c r="L32" s="31" t="s">
        <v>157</v>
      </c>
      <c r="M32" s="30" t="s">
        <v>272</v>
      </c>
      <c r="P32" s="96"/>
      <c r="Q32" s="97" t="s">
        <v>238</v>
      </c>
      <c r="R32" s="98" t="s">
        <v>239</v>
      </c>
      <c r="S32" s="99">
        <f>1/(S31/1.13/U18)</f>
        <v>0.15052285881893882</v>
      </c>
      <c r="T32" s="183">
        <f>1/(T31/1.13/U18)</f>
        <v>0.15052285881893882</v>
      </c>
      <c r="U32" s="184">
        <f>1/(U31/1.13/U18)</f>
        <v>0.1362197817365962</v>
      </c>
      <c r="V32" s="100">
        <f>1/(V31/1.13/U18)</f>
        <v>0.20069714509191847</v>
      </c>
      <c r="W32" s="101">
        <f>1/(W31/1.13/U18)</f>
        <v>0.15438241930147575</v>
      </c>
      <c r="X32" s="102"/>
      <c r="Y32" s="63"/>
      <c r="Z32" s="83"/>
      <c r="AA32" s="84" t="s">
        <v>238</v>
      </c>
      <c r="AB32" s="98" t="s">
        <v>239</v>
      </c>
      <c r="AC32" s="99">
        <f>1/(AC31/1.13/AE18)</f>
        <v>0.27385554195073564</v>
      </c>
      <c r="AD32" s="183">
        <f>1/(AD31/1.13/AE18)</f>
        <v>0.27385554195073564</v>
      </c>
      <c r="AE32" s="184">
        <f>1/(AE31/1.13/AE18)</f>
        <v>0.24783306963867477</v>
      </c>
      <c r="AF32" s="100">
        <f>1/(AF31/1.13/AE18)</f>
        <v>0.36514072260098085</v>
      </c>
      <c r="AG32" s="101">
        <f>1/(AG31/1.13/AE18)</f>
        <v>0.28087747892383147</v>
      </c>
    </row>
    <row r="33" spans="1:33" ht="12.75">
      <c r="A33" s="30"/>
      <c r="B33" s="49" t="s">
        <v>252</v>
      </c>
      <c r="C33" s="30" t="s">
        <v>31</v>
      </c>
      <c r="D33" s="58">
        <f>2400*D17/100+2400*D22*D24*(D26-D17)/100/D11/D12</f>
        <v>697.92</v>
      </c>
      <c r="E33" s="31" t="s">
        <v>253</v>
      </c>
      <c r="H33" s="28"/>
      <c r="I33" s="52" t="s">
        <v>254</v>
      </c>
      <c r="J33" s="30" t="s">
        <v>31</v>
      </c>
      <c r="K33" s="211">
        <v>0</v>
      </c>
      <c r="L33" s="137" t="s">
        <v>217</v>
      </c>
      <c r="P33" s="138"/>
      <c r="Q33" s="139" t="s">
        <v>242</v>
      </c>
      <c r="R33" s="140" t="s">
        <v>337</v>
      </c>
      <c r="S33" s="141">
        <f>U18/(S31/2.01)</f>
        <v>0.26774420020005935</v>
      </c>
      <c r="T33" s="209">
        <f>U18/(T31/2.01)</f>
        <v>0.26774420020005935</v>
      </c>
      <c r="U33" s="210">
        <f>U18/(U31/2.01)</f>
        <v>0.24230244361996314</v>
      </c>
      <c r="V33" s="141">
        <f>U18/(V31/2.01)</f>
        <v>0.3569922669334125</v>
      </c>
      <c r="W33" s="206">
        <f>U18/(W31/2.01)</f>
        <v>0.274609436102625</v>
      </c>
      <c r="X33" s="63"/>
      <c r="Y33" s="63"/>
      <c r="Z33" s="83"/>
      <c r="AA33" s="139" t="s">
        <v>242</v>
      </c>
      <c r="AB33" s="140" t="s">
        <v>337</v>
      </c>
      <c r="AC33" s="141">
        <f>AE18/(AC31/2.01)</f>
        <v>0.48712357462033506</v>
      </c>
      <c r="AD33" s="209">
        <f>AE18/(AD31/2.01)</f>
        <v>0.48712357462033506</v>
      </c>
      <c r="AE33" s="210">
        <f>AE18/(AE31/2.01)</f>
        <v>0.44083581413604983</v>
      </c>
      <c r="AF33" s="141">
        <f>AE18/(AF31/2.01)</f>
        <v>0.6494980994937801</v>
      </c>
      <c r="AG33" s="206">
        <f>AE18/(AG31/2.01)</f>
        <v>0.4996139226875232</v>
      </c>
    </row>
    <row r="34" spans="1:33" ht="12.75">
      <c r="A34" s="30"/>
      <c r="B34" s="49" t="s">
        <v>255</v>
      </c>
      <c r="C34" s="30" t="s">
        <v>31</v>
      </c>
      <c r="D34" s="37">
        <f>D3</f>
        <v>500</v>
      </c>
      <c r="E34" s="31" t="s">
        <v>253</v>
      </c>
      <c r="H34" s="28"/>
      <c r="I34" s="52" t="s">
        <v>256</v>
      </c>
      <c r="J34" s="30" t="s">
        <v>31</v>
      </c>
      <c r="K34" s="211">
        <v>40</v>
      </c>
      <c r="L34" s="137" t="s">
        <v>217</v>
      </c>
      <c r="P34" s="104"/>
      <c r="Q34" s="105" t="s">
        <v>244</v>
      </c>
      <c r="R34" s="106"/>
      <c r="S34" s="112"/>
      <c r="T34" s="113"/>
      <c r="U34" s="114"/>
      <c r="V34" s="115"/>
      <c r="W34" s="116"/>
      <c r="X34" s="63"/>
      <c r="Y34" s="63"/>
      <c r="Z34" s="104"/>
      <c r="AA34" s="105" t="s">
        <v>244</v>
      </c>
      <c r="AB34" s="106"/>
      <c r="AC34" s="112"/>
      <c r="AD34" s="113"/>
      <c r="AE34" s="114"/>
      <c r="AF34" s="115"/>
      <c r="AG34" s="116"/>
    </row>
    <row r="35" spans="2:33" ht="12.75">
      <c r="B35" s="52" t="s">
        <v>257</v>
      </c>
      <c r="C35" s="30" t="s">
        <v>31</v>
      </c>
      <c r="D35" s="150">
        <f>SUM(D33:D34)</f>
        <v>1197.92</v>
      </c>
      <c r="E35" s="31" t="s">
        <v>253</v>
      </c>
      <c r="H35" s="28"/>
      <c r="I35" s="52" t="s">
        <v>531</v>
      </c>
      <c r="J35" s="30" t="s">
        <v>31</v>
      </c>
      <c r="K35" s="211">
        <v>100</v>
      </c>
      <c r="L35" s="137" t="s">
        <v>217</v>
      </c>
      <c r="P35" s="105"/>
      <c r="Q35" s="105"/>
      <c r="R35" s="151"/>
      <c r="S35" s="152"/>
      <c r="T35" s="152"/>
      <c r="U35" s="152"/>
      <c r="V35" s="152"/>
      <c r="W35" s="152"/>
      <c r="X35" s="63"/>
      <c r="Y35" s="63"/>
      <c r="Z35" s="104"/>
      <c r="AA35" s="105"/>
      <c r="AB35" s="106"/>
      <c r="AC35" s="112"/>
      <c r="AD35" s="113"/>
      <c r="AE35" s="114"/>
      <c r="AF35" s="115"/>
      <c r="AG35" s="116"/>
    </row>
    <row r="36" spans="2:33" ht="15.75">
      <c r="B36" s="52" t="s">
        <v>258</v>
      </c>
      <c r="C36" s="30" t="s">
        <v>31</v>
      </c>
      <c r="D36" s="58">
        <f>D33*D11*D12</f>
        <v>33500.159999999996</v>
      </c>
      <c r="E36" s="31" t="s">
        <v>259</v>
      </c>
      <c r="H36" s="28">
        <v>5</v>
      </c>
      <c r="I36" s="47" t="s">
        <v>260</v>
      </c>
      <c r="L36" s="31"/>
      <c r="P36" s="144"/>
      <c r="Q36" s="144"/>
      <c r="R36" s="144"/>
      <c r="S36" s="144"/>
      <c r="T36" s="144"/>
      <c r="U36" s="144"/>
      <c r="V36" s="144"/>
      <c r="W36" s="144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2:33" ht="15.75">
      <c r="B37" s="52" t="s">
        <v>261</v>
      </c>
      <c r="C37" s="30" t="s">
        <v>31</v>
      </c>
      <c r="D37" s="153">
        <f>D34*D11*D12</f>
        <v>24000</v>
      </c>
      <c r="E37" s="31" t="s">
        <v>259</v>
      </c>
      <c r="H37" s="28"/>
      <c r="I37" s="52" t="s">
        <v>262</v>
      </c>
      <c r="J37" s="30" t="s">
        <v>31</v>
      </c>
      <c r="K37" s="58">
        <f>(D38*D12-D36*D12)/40</f>
        <v>4800</v>
      </c>
      <c r="L37" s="31" t="s">
        <v>215</v>
      </c>
      <c r="P37" s="154" t="s">
        <v>263</v>
      </c>
      <c r="Q37" s="155">
        <f>0.002*100*D17</f>
        <v>5.6000000000000005</v>
      </c>
      <c r="R37" s="144"/>
      <c r="S37" s="144" t="s">
        <v>264</v>
      </c>
      <c r="T37" s="144"/>
      <c r="U37" s="144"/>
      <c r="V37" s="144"/>
      <c r="W37" s="144"/>
      <c r="X37" s="63"/>
      <c r="Z37" s="154" t="s">
        <v>263</v>
      </c>
      <c r="AA37" s="155">
        <f>0.0025*100*D17</f>
        <v>7</v>
      </c>
      <c r="AB37" s="144"/>
      <c r="AC37" s="144" t="s">
        <v>264</v>
      </c>
      <c r="AD37" s="63"/>
      <c r="AE37" s="63"/>
      <c r="AF37" s="63"/>
      <c r="AG37" s="63"/>
    </row>
    <row r="38" spans="2:33" ht="15.75">
      <c r="B38" s="156" t="s">
        <v>265</v>
      </c>
      <c r="C38" s="30" t="s">
        <v>31</v>
      </c>
      <c r="D38" s="157">
        <f>D37+D36</f>
        <v>57500.159999999996</v>
      </c>
      <c r="E38" s="31" t="s">
        <v>259</v>
      </c>
      <c r="F38" s="52"/>
      <c r="G38" s="191"/>
      <c r="H38" s="28"/>
      <c r="I38" s="52" t="s">
        <v>266</v>
      </c>
      <c r="J38" s="30" t="s">
        <v>31</v>
      </c>
      <c r="K38" s="58">
        <f>D38/2*D12/30</f>
        <v>7666.687999999999</v>
      </c>
      <c r="L38" s="31" t="s">
        <v>215</v>
      </c>
      <c r="P38" s="63" t="s">
        <v>267</v>
      </c>
      <c r="Q38" s="102" t="s">
        <v>533</v>
      </c>
      <c r="R38" s="265">
        <f>1/(Q37/1.13)</f>
        <v>0.20178571428571426</v>
      </c>
      <c r="S38" s="63" t="s">
        <v>6</v>
      </c>
      <c r="T38" s="63"/>
      <c r="U38" s="63"/>
      <c r="V38" s="63"/>
      <c r="W38" s="63"/>
      <c r="X38" s="63"/>
      <c r="Z38" s="63" t="s">
        <v>267</v>
      </c>
      <c r="AA38" s="102" t="s">
        <v>534</v>
      </c>
      <c r="AB38" s="265">
        <f>1/(AA37/0.64)</f>
        <v>0.09142857142857143</v>
      </c>
      <c r="AC38" s="63" t="s">
        <v>6</v>
      </c>
      <c r="AD38" s="63"/>
      <c r="AE38" s="63"/>
      <c r="AF38" s="63"/>
      <c r="AG38" s="63"/>
    </row>
    <row r="39" spans="2:33" ht="12.75">
      <c r="B39" s="173" t="s">
        <v>277</v>
      </c>
      <c r="C39" s="30" t="s">
        <v>31</v>
      </c>
      <c r="D39" s="157">
        <f>D38*0.4</f>
        <v>23000.064</v>
      </c>
      <c r="E39" s="31" t="s">
        <v>259</v>
      </c>
      <c r="F39" s="52"/>
      <c r="G39" s="191"/>
      <c r="H39" s="28">
        <v>8</v>
      </c>
      <c r="I39" s="47" t="s">
        <v>280</v>
      </c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</row>
    <row r="40" spans="2:29" ht="12.75">
      <c r="B40" s="49" t="s">
        <v>278</v>
      </c>
      <c r="C40" s="48" t="s">
        <v>31</v>
      </c>
      <c r="D40" s="263">
        <f>D39/D11</f>
        <v>3833.3439999999996</v>
      </c>
      <c r="E40" s="31" t="s">
        <v>303</v>
      </c>
      <c r="H40" s="28"/>
      <c r="I40" s="47" t="s">
        <v>325</v>
      </c>
      <c r="AB40" s="28"/>
      <c r="AC40" s="33"/>
    </row>
    <row r="41" spans="2:29" ht="12.75">
      <c r="B41" s="49" t="s">
        <v>279</v>
      </c>
      <c r="C41" s="48" t="s">
        <v>31</v>
      </c>
      <c r="D41" s="263">
        <f>D39/D12</f>
        <v>2875.008</v>
      </c>
      <c r="E41" s="31" t="s">
        <v>303</v>
      </c>
      <c r="I41" s="30" t="s">
        <v>324</v>
      </c>
      <c r="J41" s="30" t="s">
        <v>31</v>
      </c>
      <c r="K41" s="58">
        <f>U23</f>
        <v>23830.642311168</v>
      </c>
      <c r="L41" s="31" t="s">
        <v>215</v>
      </c>
      <c r="AB41" s="28"/>
      <c r="AC41" s="33"/>
    </row>
    <row r="42" spans="9:29" ht="12.75">
      <c r="I42" s="30" t="s">
        <v>336</v>
      </c>
      <c r="J42" s="30" t="s">
        <v>31</v>
      </c>
      <c r="K42" s="220">
        <f>(K41/D8/(3/4*D22))^0.5</f>
        <v>33.72588309806264</v>
      </c>
      <c r="L42" s="137" t="s">
        <v>217</v>
      </c>
      <c r="M42" s="30" t="s">
        <v>4</v>
      </c>
      <c r="AB42" s="28"/>
      <c r="AC42" s="33"/>
    </row>
    <row r="43" spans="1:29" ht="12.75">
      <c r="A43" s="190"/>
      <c r="B43" s="185"/>
      <c r="C43" s="185"/>
      <c r="D43" s="185"/>
      <c r="E43" s="196"/>
      <c r="F43" s="185"/>
      <c r="I43" s="30" t="s">
        <v>323</v>
      </c>
      <c r="J43" s="30" t="s">
        <v>31</v>
      </c>
      <c r="K43" s="58">
        <f>AE23</f>
        <v>17464.469929984003</v>
      </c>
      <c r="L43" s="31" t="s">
        <v>215</v>
      </c>
      <c r="AB43" s="28"/>
      <c r="AC43" s="33"/>
    </row>
    <row r="44" spans="9:29" ht="12.75">
      <c r="I44" s="30" t="s">
        <v>339</v>
      </c>
      <c r="J44" s="30" t="s">
        <v>31</v>
      </c>
      <c r="K44" s="53">
        <f>(K43/D8/(3/4*D24))^0.5</f>
        <v>25.00367195201196</v>
      </c>
      <c r="L44" s="137" t="s">
        <v>217</v>
      </c>
      <c r="M44" s="30" t="s">
        <v>4</v>
      </c>
      <c r="AB44" s="28"/>
      <c r="AC44" s="33"/>
    </row>
    <row r="45" spans="9:29" ht="12.75">
      <c r="I45" s="47" t="s">
        <v>326</v>
      </c>
      <c r="AB45" s="28"/>
      <c r="AC45" s="33"/>
    </row>
    <row r="46" spans="9:12" ht="12.75">
      <c r="I46" s="30" t="s">
        <v>324</v>
      </c>
      <c r="J46" s="30" t="s">
        <v>31</v>
      </c>
      <c r="K46" s="58">
        <f>T23</f>
        <v>10213.132419072</v>
      </c>
      <c r="L46" s="31" t="s">
        <v>215</v>
      </c>
    </row>
    <row r="47" spans="9:13" ht="12.75">
      <c r="I47" s="30" t="s">
        <v>340</v>
      </c>
      <c r="J47" s="30" t="s">
        <v>31</v>
      </c>
      <c r="K47" s="220">
        <f>(K46/D8/(3/4*D11/2))^0.5</f>
        <v>17.102144156882524</v>
      </c>
      <c r="L47" s="137" t="s">
        <v>217</v>
      </c>
      <c r="M47" s="30" t="s">
        <v>4</v>
      </c>
    </row>
    <row r="48" spans="6:12" ht="12.75">
      <c r="F48" s="56"/>
      <c r="G48" s="189"/>
      <c r="I48" s="30" t="s">
        <v>323</v>
      </c>
      <c r="J48" s="30" t="s">
        <v>31</v>
      </c>
      <c r="K48" s="58">
        <f>AD23</f>
        <v>7484.772827136</v>
      </c>
      <c r="L48" s="31" t="s">
        <v>215</v>
      </c>
    </row>
    <row r="49" spans="9:13" ht="12.75">
      <c r="I49" s="30" t="s">
        <v>339</v>
      </c>
      <c r="J49" s="30" t="s">
        <v>31</v>
      </c>
      <c r="K49" s="53">
        <f>(K48/D8/(3/4*D12/2))^0.5</f>
        <v>12.679175840447387</v>
      </c>
      <c r="L49" s="137" t="s">
        <v>217</v>
      </c>
      <c r="M49" s="30" t="s">
        <v>4</v>
      </c>
    </row>
    <row r="51" spans="8:13" ht="12.75">
      <c r="H51" s="185"/>
      <c r="I51" s="185"/>
      <c r="J51" s="185"/>
      <c r="K51" s="185"/>
      <c r="L51" s="185"/>
      <c r="M51" s="185"/>
    </row>
    <row r="60" spans="6:7" ht="12.75">
      <c r="F60" s="56"/>
      <c r="G60" s="189"/>
    </row>
    <row r="587" ht="12.75">
      <c r="Y587" s="63"/>
    </row>
    <row r="588" ht="12.75">
      <c r="Y588" s="63"/>
    </row>
    <row r="589" spans="7:34" s="63" customFormat="1" ht="12">
      <c r="G589" s="192"/>
      <c r="N589" s="192"/>
      <c r="O589" s="102"/>
      <c r="AH589" s="192"/>
    </row>
    <row r="590" spans="7:34" s="63" customFormat="1" ht="12">
      <c r="G590" s="192"/>
      <c r="N590" s="192"/>
      <c r="O590" s="102"/>
      <c r="AH590" s="192"/>
    </row>
    <row r="591" spans="7:34" s="63" customFormat="1" ht="12">
      <c r="G591" s="192"/>
      <c r="N591" s="192"/>
      <c r="O591" s="102"/>
      <c r="AH591" s="192"/>
    </row>
    <row r="592" spans="7:34" s="63" customFormat="1" ht="12">
      <c r="G592" s="192"/>
      <c r="N592" s="192"/>
      <c r="O592" s="102"/>
      <c r="AH592" s="192"/>
    </row>
    <row r="593" spans="7:34" s="63" customFormat="1" ht="12.75">
      <c r="G593" s="192"/>
      <c r="N593" s="192"/>
      <c r="O593" s="102"/>
      <c r="Y593" s="30"/>
      <c r="AH593" s="192"/>
    </row>
    <row r="594" spans="7:34" s="63" customFormat="1" ht="12.75">
      <c r="G594" s="192"/>
      <c r="N594" s="192"/>
      <c r="O594" s="102"/>
      <c r="Y594" s="30"/>
      <c r="AH594" s="192"/>
    </row>
  </sheetData>
  <mergeCells count="6">
    <mergeCell ref="AF20:AG20"/>
    <mergeCell ref="R21:S21"/>
    <mergeCell ref="AB21:AC21"/>
    <mergeCell ref="R20:U20"/>
    <mergeCell ref="V20:W20"/>
    <mergeCell ref="AB20:AE20"/>
  </mergeCells>
  <printOptions/>
  <pageMargins left="0.6" right="0.35433070866141736" top="0.75" bottom="0.2755905511811024" header="0.5905511811023623" footer="0.433070866141732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27"/>
  <sheetViews>
    <sheetView workbookViewId="0" topLeftCell="A60">
      <selection activeCell="A83" sqref="A83"/>
    </sheetView>
  </sheetViews>
  <sheetFormatPr defaultColWidth="9.33203125" defaultRowHeight="18.75"/>
  <cols>
    <col min="2" max="2" width="12" style="0" customWidth="1"/>
    <col min="3" max="3" width="3.5" style="0" customWidth="1"/>
    <col min="4" max="4" width="4.5" style="0" customWidth="1"/>
    <col min="5" max="5" width="3.83203125" style="0" customWidth="1"/>
    <col min="6" max="6" width="3.66015625" style="0" customWidth="1"/>
    <col min="7" max="7" width="9.5" style="2" customWidth="1"/>
    <col min="8" max="8" width="11.33203125" style="0" customWidth="1"/>
    <col min="15" max="15" width="9.33203125" style="250" customWidth="1"/>
  </cols>
  <sheetData>
    <row r="2" ht="21">
      <c r="E2" s="4" t="s">
        <v>48</v>
      </c>
    </row>
    <row r="3" ht="9" customHeight="1"/>
    <row r="4" spans="2:3" ht="18.75">
      <c r="B4" s="16" t="s">
        <v>23</v>
      </c>
      <c r="C4" t="s">
        <v>24</v>
      </c>
    </row>
    <row r="5" spans="3:4" ht="18.75">
      <c r="C5" s="15" t="s">
        <v>25</v>
      </c>
      <c r="D5" t="s">
        <v>26</v>
      </c>
    </row>
    <row r="6" ht="18.75">
      <c r="D6" t="s">
        <v>27</v>
      </c>
    </row>
    <row r="7" spans="3:4" ht="18.75">
      <c r="C7" s="15" t="s">
        <v>25</v>
      </c>
      <c r="D7" t="s">
        <v>28</v>
      </c>
    </row>
    <row r="8" spans="4:10" ht="18.75">
      <c r="D8" t="s">
        <v>29</v>
      </c>
      <c r="E8" t="s">
        <v>30</v>
      </c>
      <c r="F8" s="15" t="s">
        <v>31</v>
      </c>
      <c r="G8" s="2" t="s">
        <v>32</v>
      </c>
      <c r="J8" t="s">
        <v>33</v>
      </c>
    </row>
    <row r="9" spans="4:10" ht="18.75">
      <c r="D9" t="s">
        <v>34</v>
      </c>
      <c r="E9" t="s">
        <v>30</v>
      </c>
      <c r="F9" s="15" t="s">
        <v>31</v>
      </c>
      <c r="G9" s="2" t="s">
        <v>41</v>
      </c>
      <c r="J9" t="s">
        <v>35</v>
      </c>
    </row>
    <row r="10" spans="4:10" ht="18.75">
      <c r="D10" t="s">
        <v>36</v>
      </c>
      <c r="E10" t="s">
        <v>30</v>
      </c>
      <c r="F10" s="15" t="s">
        <v>31</v>
      </c>
      <c r="G10" s="2" t="s">
        <v>40</v>
      </c>
      <c r="J10" t="s">
        <v>37</v>
      </c>
    </row>
    <row r="11" spans="4:11" ht="18.75">
      <c r="D11" t="s">
        <v>38</v>
      </c>
      <c r="E11" t="s">
        <v>30</v>
      </c>
      <c r="F11" s="15" t="s">
        <v>31</v>
      </c>
      <c r="G11" s="9" t="s">
        <v>39</v>
      </c>
      <c r="H11" s="12"/>
      <c r="K11" t="s">
        <v>43</v>
      </c>
    </row>
    <row r="12" spans="5:11" ht="18.75">
      <c r="E12" t="s">
        <v>14</v>
      </c>
      <c r="F12" s="15" t="s">
        <v>31</v>
      </c>
      <c r="G12" s="2" t="s">
        <v>42</v>
      </c>
      <c r="K12" t="s">
        <v>43</v>
      </c>
    </row>
    <row r="13" spans="5:11" ht="18.75">
      <c r="E13" t="s">
        <v>44</v>
      </c>
      <c r="F13" s="15" t="s">
        <v>31</v>
      </c>
      <c r="G13" s="2" t="s">
        <v>45</v>
      </c>
      <c r="K13" t="s">
        <v>46</v>
      </c>
    </row>
    <row r="15" ht="18.75">
      <c r="D15" t="s">
        <v>47</v>
      </c>
    </row>
    <row r="17" spans="2:10" ht="18.75">
      <c r="B17" s="16" t="s">
        <v>22</v>
      </c>
      <c r="C17" t="s">
        <v>469</v>
      </c>
      <c r="I17" s="12">
        <v>1.5</v>
      </c>
      <c r="J17" t="s">
        <v>6</v>
      </c>
    </row>
    <row r="18" spans="5:12" ht="18.75">
      <c r="E18" t="s">
        <v>49</v>
      </c>
      <c r="F18" s="15" t="s">
        <v>31</v>
      </c>
      <c r="G18" s="9">
        <v>280</v>
      </c>
      <c r="H18" s="3" t="s">
        <v>11</v>
      </c>
      <c r="J18" t="s">
        <v>67</v>
      </c>
      <c r="K18" s="12">
        <v>5</v>
      </c>
      <c r="L18" t="s">
        <v>3</v>
      </c>
    </row>
    <row r="19" spans="5:12" ht="18.75">
      <c r="E19" t="s">
        <v>50</v>
      </c>
      <c r="F19" s="15" t="s">
        <v>31</v>
      </c>
      <c r="G19" s="9">
        <v>28.3</v>
      </c>
      <c r="H19" s="3" t="s">
        <v>11</v>
      </c>
      <c r="J19" t="s">
        <v>68</v>
      </c>
      <c r="K19" s="12">
        <v>0.32</v>
      </c>
      <c r="L19" t="s">
        <v>3</v>
      </c>
    </row>
    <row r="20" spans="5:12" ht="18.75">
      <c r="E20" t="s">
        <v>76</v>
      </c>
      <c r="F20" s="15"/>
      <c r="G20" s="9">
        <v>37.4</v>
      </c>
      <c r="H20" s="3" t="s">
        <v>78</v>
      </c>
      <c r="J20" t="s">
        <v>77</v>
      </c>
      <c r="K20" s="12">
        <v>8.19</v>
      </c>
      <c r="L20" s="3" t="s">
        <v>78</v>
      </c>
    </row>
    <row r="21" ht="18.75">
      <c r="C21" t="s">
        <v>54</v>
      </c>
    </row>
    <row r="22" spans="4:9" ht="18.75">
      <c r="D22" t="s">
        <v>51</v>
      </c>
      <c r="F22" s="15" t="s">
        <v>31</v>
      </c>
      <c r="G22" s="2">
        <v>30</v>
      </c>
      <c r="I22" t="s">
        <v>43</v>
      </c>
    </row>
    <row r="23" spans="4:10" ht="18.75">
      <c r="D23" t="s">
        <v>52</v>
      </c>
      <c r="F23" s="15" t="s">
        <v>31</v>
      </c>
      <c r="G23" s="2">
        <v>10</v>
      </c>
      <c r="I23" t="s">
        <v>43</v>
      </c>
      <c r="J23" t="s">
        <v>103</v>
      </c>
    </row>
    <row r="24" spans="4:9" ht="18.75">
      <c r="D24" t="s">
        <v>13</v>
      </c>
      <c r="F24" s="15" t="s">
        <v>31</v>
      </c>
      <c r="G24" s="2">
        <v>5</v>
      </c>
      <c r="I24" t="s">
        <v>43</v>
      </c>
    </row>
    <row r="25" spans="4:9" ht="18.75">
      <c r="D25" t="s">
        <v>53</v>
      </c>
      <c r="F25" s="15" t="s">
        <v>31</v>
      </c>
      <c r="G25" s="2">
        <v>5</v>
      </c>
      <c r="I25" t="s">
        <v>43</v>
      </c>
    </row>
    <row r="26" spans="4:18" ht="18.75">
      <c r="D26" t="s">
        <v>55</v>
      </c>
      <c r="F26" s="15" t="s">
        <v>31</v>
      </c>
      <c r="G26" s="2">
        <f>G22+G23+G24+G25</f>
        <v>50</v>
      </c>
      <c r="I26" t="s">
        <v>43</v>
      </c>
      <c r="P26" t="s">
        <v>95</v>
      </c>
      <c r="Q26" s="12">
        <v>5</v>
      </c>
      <c r="R26" t="s">
        <v>96</v>
      </c>
    </row>
    <row r="27" spans="4:18" ht="18.75">
      <c r="D27" t="s">
        <v>468</v>
      </c>
      <c r="J27" s="21">
        <v>80</v>
      </c>
      <c r="K27" t="s">
        <v>43</v>
      </c>
      <c r="L27" t="s">
        <v>120</v>
      </c>
      <c r="M27" s="13">
        <f>Q26</f>
        <v>5</v>
      </c>
      <c r="N27" t="s">
        <v>46</v>
      </c>
      <c r="Q27">
        <f>3.1416*Q26/180</f>
        <v>0.08726666666666667</v>
      </c>
      <c r="R27" t="s">
        <v>97</v>
      </c>
    </row>
    <row r="28" spans="5:9" ht="18.75">
      <c r="E28" t="s">
        <v>30</v>
      </c>
      <c r="F28" s="15" t="s">
        <v>31</v>
      </c>
      <c r="G28" s="2">
        <f>J27*M27/45</f>
        <v>8.88888888888889</v>
      </c>
      <c r="I28" t="s">
        <v>43</v>
      </c>
    </row>
    <row r="30" spans="4:10" ht="18.75">
      <c r="D30" t="s">
        <v>56</v>
      </c>
      <c r="F30" s="15" t="s">
        <v>31</v>
      </c>
      <c r="G30" s="2">
        <f>G26*COS(Q27)</f>
        <v>49.80973401530591</v>
      </c>
      <c r="I30" t="s">
        <v>43</v>
      </c>
      <c r="J30" t="s">
        <v>58</v>
      </c>
    </row>
    <row r="31" spans="4:10" ht="18.75">
      <c r="D31" t="s">
        <v>57</v>
      </c>
      <c r="F31" s="15" t="s">
        <v>31</v>
      </c>
      <c r="G31" s="2">
        <f>G26*SIN(Q27)</f>
        <v>4.35779730190351</v>
      </c>
      <c r="I31" t="s">
        <v>43</v>
      </c>
      <c r="J31" t="s">
        <v>59</v>
      </c>
    </row>
    <row r="32" ht="18.75">
      <c r="C32" s="16" t="s">
        <v>60</v>
      </c>
    </row>
    <row r="33" spans="4:12" ht="18.75">
      <c r="D33" t="s">
        <v>470</v>
      </c>
      <c r="G33"/>
      <c r="H33" s="252">
        <f>(G28+G30)*I17</f>
        <v>88.04793435629219</v>
      </c>
      <c r="I33" s="1" t="s">
        <v>0</v>
      </c>
      <c r="L33" s="2"/>
    </row>
    <row r="34" spans="7:12" ht="18.75">
      <c r="G34"/>
      <c r="H34" s="11">
        <v>6</v>
      </c>
      <c r="J34" s="6"/>
      <c r="L34" s="2"/>
    </row>
    <row r="35" spans="7:13" ht="18.75">
      <c r="G35" s="272">
        <f>H33*H34/2</f>
        <v>264.14380306887654</v>
      </c>
      <c r="H35" s="272"/>
      <c r="I35" s="272">
        <f>H33*H34/2</f>
        <v>264.14380306887654</v>
      </c>
      <c r="J35" s="272"/>
      <c r="K35" t="s">
        <v>474</v>
      </c>
      <c r="L35" s="2">
        <f>H33*H34^2/8</f>
        <v>396.21570460331486</v>
      </c>
      <c r="M35" s="3" t="s">
        <v>8</v>
      </c>
    </row>
    <row r="36" spans="7:13" ht="18.75" hidden="1">
      <c r="G36"/>
      <c r="K36" t="s">
        <v>7</v>
      </c>
      <c r="L36" s="2">
        <f>L35*100/0.6/2400</f>
        <v>27.514979486341314</v>
      </c>
      <c r="M36" s="3" t="s">
        <v>9</v>
      </c>
    </row>
    <row r="37" spans="7:13" ht="18.75">
      <c r="G37"/>
      <c r="K37" t="s">
        <v>10</v>
      </c>
      <c r="L37" s="22">
        <f>G18</f>
        <v>280</v>
      </c>
      <c r="M37" s="3" t="s">
        <v>11</v>
      </c>
    </row>
    <row r="38" spans="7:13" ht="18.75">
      <c r="G38"/>
      <c r="K38" t="s">
        <v>2</v>
      </c>
      <c r="L38" s="2">
        <f>5/384*(H33*H34)*(H34*100)^3/2100000/L37</f>
        <v>2.5268858711946103</v>
      </c>
      <c r="M38" s="3" t="s">
        <v>3</v>
      </c>
    </row>
    <row r="39" spans="7:13" ht="18.75">
      <c r="G39"/>
      <c r="K39" s="5" t="s">
        <v>12</v>
      </c>
      <c r="L39" s="2">
        <f>H34*100/L38</f>
        <v>237.44641847094744</v>
      </c>
      <c r="M39" s="3" t="s">
        <v>4</v>
      </c>
    </row>
    <row r="40" ht="81" customHeight="1"/>
    <row r="41" spans="2:3" ht="18.75">
      <c r="B41" s="16" t="s">
        <v>23</v>
      </c>
      <c r="C41" t="s">
        <v>61</v>
      </c>
    </row>
    <row r="42" ht="18.75">
      <c r="C42" s="16" t="s">
        <v>62</v>
      </c>
    </row>
    <row r="43" spans="4:12" ht="18.75">
      <c r="D43" t="s">
        <v>471</v>
      </c>
      <c r="G43"/>
      <c r="H43" s="252">
        <f>G31*I17</f>
        <v>6.536695952855265</v>
      </c>
      <c r="I43" s="1" t="s">
        <v>0</v>
      </c>
      <c r="L43" s="2"/>
    </row>
    <row r="44" spans="7:12" ht="18.75">
      <c r="G44"/>
      <c r="H44" s="11">
        <v>3</v>
      </c>
      <c r="J44" s="6"/>
      <c r="L44" s="2"/>
    </row>
    <row r="45" spans="7:13" ht="18.75">
      <c r="G45" s="272">
        <f>H43*H44/2</f>
        <v>9.805043929282897</v>
      </c>
      <c r="H45" s="272"/>
      <c r="I45" s="272">
        <f>H43*H44/2</f>
        <v>9.805043929282897</v>
      </c>
      <c r="J45" s="272"/>
      <c r="K45" t="s">
        <v>473</v>
      </c>
      <c r="L45" s="2">
        <f>H43*H44^2/8</f>
        <v>7.353782946962173</v>
      </c>
      <c r="M45" s="3" t="s">
        <v>8</v>
      </c>
    </row>
    <row r="46" spans="7:13" ht="18.75" hidden="1">
      <c r="G46"/>
      <c r="K46" t="s">
        <v>75</v>
      </c>
      <c r="L46" s="2">
        <f>L45*100/0.6/2400</f>
        <v>0.5106793713168177</v>
      </c>
      <c r="M46" s="3" t="s">
        <v>9</v>
      </c>
    </row>
    <row r="47" spans="7:13" ht="18.75">
      <c r="G47"/>
      <c r="K47" t="s">
        <v>66</v>
      </c>
      <c r="L47" s="22">
        <f>G19</f>
        <v>28.3</v>
      </c>
      <c r="M47" s="3" t="s">
        <v>11</v>
      </c>
    </row>
    <row r="48" spans="7:13" ht="18.75">
      <c r="G48"/>
      <c r="K48" t="s">
        <v>2</v>
      </c>
      <c r="L48" s="2">
        <f>5/384*(H43*H44)*(H44*100)^3/2100000/L47</f>
        <v>0.11600490514516301</v>
      </c>
      <c r="M48" s="3" t="s">
        <v>3</v>
      </c>
    </row>
    <row r="49" spans="7:13" ht="18.75">
      <c r="G49"/>
      <c r="K49" s="5" t="s">
        <v>12</v>
      </c>
      <c r="L49" s="2">
        <f>H44*100/L48</f>
        <v>2586.0975415185617</v>
      </c>
      <c r="M49" s="3" t="s">
        <v>4</v>
      </c>
    </row>
    <row r="51" spans="3:14" ht="18.75">
      <c r="C51" s="16" t="s">
        <v>472</v>
      </c>
      <c r="H51" t="s">
        <v>63</v>
      </c>
      <c r="J51">
        <v>1</v>
      </c>
      <c r="L51" t="s">
        <v>69</v>
      </c>
      <c r="M51" s="12">
        <v>2400</v>
      </c>
      <c r="N51" t="s">
        <v>1</v>
      </c>
    </row>
    <row r="52" spans="4:13" ht="18.75">
      <c r="D52" t="s">
        <v>64</v>
      </c>
      <c r="F52" s="15" t="s">
        <v>31</v>
      </c>
      <c r="G52" s="22">
        <f>K18/2/K19</f>
        <v>7.8125</v>
      </c>
      <c r="I52" t="s">
        <v>71</v>
      </c>
      <c r="J52" t="s">
        <v>74</v>
      </c>
      <c r="K52">
        <f>0.66*M51</f>
        <v>1584</v>
      </c>
      <c r="L52" t="s">
        <v>1</v>
      </c>
      <c r="M52" s="3" t="s">
        <v>475</v>
      </c>
    </row>
    <row r="53" spans="3:13" ht="18.75">
      <c r="C53" t="s">
        <v>65</v>
      </c>
      <c r="F53" s="15" t="s">
        <v>31</v>
      </c>
      <c r="G53" s="22">
        <f>437.7/M51^0.5</f>
        <v>8.934513836801642</v>
      </c>
      <c r="I53" t="s">
        <v>72</v>
      </c>
      <c r="J53" t="s">
        <v>73</v>
      </c>
      <c r="K53">
        <f>0.75*M51</f>
        <v>1800</v>
      </c>
      <c r="L53" t="s">
        <v>1</v>
      </c>
      <c r="M53" s="3" t="s">
        <v>476</v>
      </c>
    </row>
    <row r="54" spans="4:12" ht="18.75">
      <c r="D54" t="s">
        <v>64</v>
      </c>
      <c r="F54" s="12" t="s">
        <v>70</v>
      </c>
      <c r="G54" t="s">
        <v>65</v>
      </c>
      <c r="I54" t="s">
        <v>79</v>
      </c>
      <c r="K54">
        <f>L35*100/G20</f>
        <v>1059.4002796880077</v>
      </c>
      <c r="L54" t="s">
        <v>1</v>
      </c>
    </row>
    <row r="55" spans="3:12" ht="18.75">
      <c r="C55" s="251" t="s">
        <v>81</v>
      </c>
      <c r="I55" t="s">
        <v>80</v>
      </c>
      <c r="K55">
        <f>L45*100/K20</f>
        <v>89.78977957218773</v>
      </c>
      <c r="L55" t="s">
        <v>1</v>
      </c>
    </row>
    <row r="56" spans="8:12" ht="18.75">
      <c r="H56" t="s">
        <v>63</v>
      </c>
      <c r="J56">
        <f>K54/K52+K55/K53</f>
        <v>0.7186965187572808</v>
      </c>
      <c r="L56" s="3" t="s">
        <v>4</v>
      </c>
    </row>
    <row r="58" spans="2:8" ht="18.75">
      <c r="B58" s="16" t="s">
        <v>83</v>
      </c>
      <c r="E58" t="s">
        <v>84</v>
      </c>
      <c r="H58" t="s">
        <v>91</v>
      </c>
    </row>
    <row r="59" spans="5:9" ht="18.75">
      <c r="E59" t="s">
        <v>14</v>
      </c>
      <c r="F59" s="15" t="s">
        <v>31</v>
      </c>
      <c r="G59" t="s">
        <v>85</v>
      </c>
      <c r="I59" s="3" t="s">
        <v>5</v>
      </c>
    </row>
    <row r="60" spans="5:9" ht="18.75">
      <c r="E60" t="s">
        <v>14</v>
      </c>
      <c r="F60" s="15" t="s">
        <v>31</v>
      </c>
      <c r="G60" s="2">
        <f>G31*6.6*3</f>
        <v>86.2843865776895</v>
      </c>
      <c r="I60" s="3" t="s">
        <v>5</v>
      </c>
    </row>
    <row r="61" spans="5:9" ht="18.75">
      <c r="E61" t="s">
        <v>86</v>
      </c>
      <c r="F61" s="15" t="s">
        <v>31</v>
      </c>
      <c r="G61" s="2" t="s">
        <v>87</v>
      </c>
      <c r="I61" t="s">
        <v>1</v>
      </c>
    </row>
    <row r="62" spans="5:9" ht="18.75">
      <c r="E62" t="s">
        <v>86</v>
      </c>
      <c r="F62" s="15" t="s">
        <v>31</v>
      </c>
      <c r="G62" s="2">
        <f>0.6*M51</f>
        <v>1440</v>
      </c>
      <c r="I62" t="s">
        <v>1</v>
      </c>
    </row>
    <row r="63" spans="5:9" ht="18.75">
      <c r="E63" t="s">
        <v>88</v>
      </c>
      <c r="F63" s="15" t="s">
        <v>31</v>
      </c>
      <c r="G63" s="2" t="s">
        <v>89</v>
      </c>
      <c r="I63" s="3" t="s">
        <v>5</v>
      </c>
    </row>
    <row r="64" spans="5:12" ht="18.75">
      <c r="E64" t="s">
        <v>88</v>
      </c>
      <c r="F64" s="15" t="s">
        <v>31</v>
      </c>
      <c r="G64" s="2">
        <f>1.13*G62</f>
        <v>1627.1999999999998</v>
      </c>
      <c r="I64" s="3" t="s">
        <v>5</v>
      </c>
      <c r="J64" s="13" t="s">
        <v>90</v>
      </c>
      <c r="K64" t="s">
        <v>14</v>
      </c>
      <c r="L64" s="3" t="s">
        <v>4</v>
      </c>
    </row>
    <row r="65" spans="6:12" s="250" customFormat="1" ht="18.75" hidden="1">
      <c r="F65" s="255"/>
      <c r="G65" s="253"/>
      <c r="I65" s="256"/>
      <c r="J65" s="257"/>
      <c r="L65" s="256"/>
    </row>
    <row r="66" spans="6:12" ht="18.75" hidden="1">
      <c r="F66" s="15"/>
      <c r="I66" s="3"/>
      <c r="J66" s="13"/>
      <c r="L66" s="3"/>
    </row>
    <row r="67" spans="6:12" ht="18.75" hidden="1">
      <c r="F67" s="15"/>
      <c r="I67" s="3"/>
      <c r="J67" s="13"/>
      <c r="L67" s="3"/>
    </row>
    <row r="68" spans="6:12" ht="18.75" hidden="1">
      <c r="F68" s="15"/>
      <c r="I68" s="3"/>
      <c r="J68" s="13"/>
      <c r="L68" s="3"/>
    </row>
    <row r="69" spans="6:12" ht="18.75" hidden="1">
      <c r="F69" s="15"/>
      <c r="I69" s="3"/>
      <c r="J69" s="13"/>
      <c r="L69" s="3"/>
    </row>
    <row r="70" spans="6:12" ht="18.75" hidden="1">
      <c r="F70" s="15"/>
      <c r="I70" s="3"/>
      <c r="J70" s="13"/>
      <c r="L70" s="3"/>
    </row>
    <row r="71" spans="6:12" ht="18.75" hidden="1">
      <c r="F71" s="15"/>
      <c r="I71" s="3"/>
      <c r="J71" s="13"/>
      <c r="L71" s="3"/>
    </row>
    <row r="72" spans="6:12" ht="18.75" hidden="1">
      <c r="F72" s="15"/>
      <c r="I72" s="3"/>
      <c r="J72" s="13"/>
      <c r="L72" s="3"/>
    </row>
    <row r="73" spans="6:12" ht="18.75" hidden="1">
      <c r="F73" s="15"/>
      <c r="I73" s="3"/>
      <c r="J73" s="13"/>
      <c r="L73" s="3"/>
    </row>
    <row r="74" spans="6:12" ht="18.75" hidden="1">
      <c r="F74" s="15"/>
      <c r="I74" s="3"/>
      <c r="J74" s="13"/>
      <c r="L74" s="3"/>
    </row>
    <row r="75" spans="6:12" ht="18.75" hidden="1">
      <c r="F75" s="15"/>
      <c r="I75" s="3"/>
      <c r="J75" s="13"/>
      <c r="L75" s="3"/>
    </row>
    <row r="76" spans="6:12" ht="18.75" hidden="1">
      <c r="F76" s="15"/>
      <c r="I76" s="3"/>
      <c r="J76" s="13"/>
      <c r="L76" s="3"/>
    </row>
    <row r="77" spans="6:12" ht="18.75" hidden="1">
      <c r="F77" s="15"/>
      <c r="I77" s="3"/>
      <c r="J77" s="13"/>
      <c r="L77" s="3"/>
    </row>
    <row r="78" spans="6:12" ht="18.75" hidden="1">
      <c r="F78" s="15"/>
      <c r="I78" s="3"/>
      <c r="J78" s="13"/>
      <c r="L78" s="3"/>
    </row>
    <row r="79" spans="6:12" ht="18.75" hidden="1">
      <c r="F79" s="15"/>
      <c r="I79" s="3"/>
      <c r="J79" s="13"/>
      <c r="L79" s="3"/>
    </row>
    <row r="80" spans="6:12" ht="21.75" customHeight="1" hidden="1">
      <c r="F80" s="15"/>
      <c r="I80" s="3"/>
      <c r="J80" s="13"/>
      <c r="L80" s="3"/>
    </row>
    <row r="81" spans="6:12" ht="18.75" hidden="1">
      <c r="F81" s="15"/>
      <c r="I81" s="3"/>
      <c r="J81" s="13"/>
      <c r="L81" s="3"/>
    </row>
    <row r="82" s="250" customFormat="1" ht="23.25" customHeight="1" hidden="1">
      <c r="G82" s="253"/>
    </row>
    <row r="83" spans="2:8" ht="18.75">
      <c r="B83" s="16" t="s">
        <v>82</v>
      </c>
      <c r="E83" s="12" t="s">
        <v>93</v>
      </c>
      <c r="F83" s="12"/>
      <c r="G83" s="9"/>
      <c r="H83" s="12"/>
    </row>
    <row r="84" spans="3:9" ht="18.75">
      <c r="C84" t="s">
        <v>92</v>
      </c>
      <c r="H84" s="12">
        <v>6</v>
      </c>
      <c r="I84" s="3" t="s">
        <v>6</v>
      </c>
    </row>
    <row r="85" spans="3:10" ht="18.75">
      <c r="C85" t="s">
        <v>94</v>
      </c>
      <c r="I85" s="12">
        <v>0.75</v>
      </c>
      <c r="J85" s="3" t="s">
        <v>6</v>
      </c>
    </row>
    <row r="86" spans="3:10" ht="18.75">
      <c r="C86" t="s">
        <v>118</v>
      </c>
      <c r="I86" s="12">
        <v>10</v>
      </c>
      <c r="J86" s="3" t="s">
        <v>43</v>
      </c>
    </row>
    <row r="87" spans="3:10" ht="18.75">
      <c r="C87" t="s">
        <v>98</v>
      </c>
      <c r="G87" s="2" t="s">
        <v>119</v>
      </c>
      <c r="I87" s="17">
        <f>G26+G28*COS(Q27)+I86</f>
        <v>68.85506382494327</v>
      </c>
      <c r="J87" s="3" t="s">
        <v>43</v>
      </c>
    </row>
    <row r="88" spans="3:10" ht="18.75">
      <c r="C88" t="s">
        <v>100</v>
      </c>
      <c r="G88" s="18" t="s">
        <v>99</v>
      </c>
      <c r="I88" s="17">
        <f>G28*SIN(Q27)</f>
        <v>0.7747195203384017</v>
      </c>
      <c r="J88" s="3" t="s">
        <v>43</v>
      </c>
    </row>
    <row r="89" spans="3:10" ht="18.75">
      <c r="C89" t="s">
        <v>101</v>
      </c>
      <c r="F89" s="15" t="s">
        <v>31</v>
      </c>
      <c r="G89" s="2">
        <f>I87*H84*I85</f>
        <v>309.8477872122447</v>
      </c>
      <c r="I89" s="3" t="s">
        <v>5</v>
      </c>
      <c r="J89" s="19" t="s">
        <v>105</v>
      </c>
    </row>
    <row r="90" spans="3:10" ht="18.75">
      <c r="C90" t="s">
        <v>102</v>
      </c>
      <c r="F90" s="15" t="s">
        <v>31</v>
      </c>
      <c r="G90" s="2">
        <f>I88*H84*I85</f>
        <v>3.486237841522808</v>
      </c>
      <c r="I90" s="3" t="s">
        <v>5</v>
      </c>
      <c r="J90" s="19" t="s">
        <v>104</v>
      </c>
    </row>
    <row r="91" spans="2:3" ht="18.75">
      <c r="B91" s="16" t="s">
        <v>23</v>
      </c>
      <c r="C91" s="15" t="s">
        <v>477</v>
      </c>
    </row>
    <row r="92" spans="4:10" ht="18.75">
      <c r="D92" t="s">
        <v>107</v>
      </c>
      <c r="I92">
        <v>15</v>
      </c>
      <c r="J92" s="3" t="s">
        <v>43</v>
      </c>
    </row>
    <row r="93" spans="4:10" ht="18.75">
      <c r="D93" t="s">
        <v>108</v>
      </c>
      <c r="H93" s="19" t="s">
        <v>106</v>
      </c>
      <c r="J93" s="3" t="s">
        <v>43</v>
      </c>
    </row>
    <row r="94" ht="18.75">
      <c r="C94" s="15" t="s">
        <v>478</v>
      </c>
    </row>
    <row r="95" ht="18.75">
      <c r="D95" t="s">
        <v>109</v>
      </c>
    </row>
    <row r="96" ht="18.75">
      <c r="D96" t="s">
        <v>110</v>
      </c>
    </row>
    <row r="97" ht="18.75">
      <c r="D97" t="s">
        <v>111</v>
      </c>
    </row>
    <row r="98" ht="18.75">
      <c r="C98" s="15" t="s">
        <v>479</v>
      </c>
    </row>
    <row r="99" ht="18.75">
      <c r="C99" s="15" t="s">
        <v>480</v>
      </c>
    </row>
    <row r="100" ht="18.75">
      <c r="C100" s="15" t="s">
        <v>481</v>
      </c>
    </row>
    <row r="101" ht="18.75">
      <c r="D101" t="s">
        <v>112</v>
      </c>
    </row>
    <row r="102" ht="18.75">
      <c r="C102" s="15" t="s">
        <v>482</v>
      </c>
    </row>
    <row r="103" ht="18.75">
      <c r="C103" s="15" t="s">
        <v>483</v>
      </c>
    </row>
    <row r="104" ht="18.75">
      <c r="C104" s="254" t="s">
        <v>484</v>
      </c>
    </row>
    <row r="105" spans="3:4" ht="18.75">
      <c r="C105" s="16"/>
      <c r="D105" t="s">
        <v>485</v>
      </c>
    </row>
    <row r="106" ht="18.75">
      <c r="C106" s="254" t="s">
        <v>486</v>
      </c>
    </row>
    <row r="107" spans="2:3" ht="18.75">
      <c r="B107" s="16" t="s">
        <v>487</v>
      </c>
      <c r="C107" s="254"/>
    </row>
    <row r="108" spans="3:13" ht="18.75">
      <c r="C108" s="16" t="s">
        <v>496</v>
      </c>
      <c r="J108" t="s">
        <v>488</v>
      </c>
      <c r="M108" s="23" t="s">
        <v>3</v>
      </c>
    </row>
    <row r="109" spans="4:10" ht="18.75">
      <c r="D109" t="s">
        <v>489</v>
      </c>
      <c r="J109">
        <v>1.2E-05</v>
      </c>
    </row>
    <row r="110" spans="4:13" ht="18.75">
      <c r="D110" t="s">
        <v>490</v>
      </c>
      <c r="I110" t="s">
        <v>491</v>
      </c>
      <c r="J110" s="12">
        <v>50</v>
      </c>
      <c r="M110" t="s">
        <v>492</v>
      </c>
    </row>
    <row r="111" spans="4:13" ht="18.75">
      <c r="D111" t="s">
        <v>493</v>
      </c>
      <c r="I111" t="s">
        <v>491</v>
      </c>
      <c r="J111" s="12">
        <v>0</v>
      </c>
      <c r="M111" t="s">
        <v>492</v>
      </c>
    </row>
    <row r="112" spans="4:13" ht="18.75">
      <c r="D112" t="s">
        <v>494</v>
      </c>
      <c r="I112" t="s">
        <v>491</v>
      </c>
      <c r="J112" s="12">
        <v>12</v>
      </c>
      <c r="M112" s="19" t="s">
        <v>6</v>
      </c>
    </row>
    <row r="113" spans="3:13" ht="18.75">
      <c r="C113" s="16" t="s">
        <v>497</v>
      </c>
      <c r="J113">
        <f>J109*J112*100*(J110-J111)</f>
        <v>0.72</v>
      </c>
      <c r="M113" s="23" t="s">
        <v>3</v>
      </c>
    </row>
    <row r="114" spans="3:13" ht="18.75">
      <c r="C114" s="16" t="s">
        <v>498</v>
      </c>
      <c r="J114" s="12">
        <v>0.97</v>
      </c>
      <c r="M114" s="23" t="s">
        <v>3</v>
      </c>
    </row>
    <row r="115" spans="3:13" ht="18.75">
      <c r="C115" s="16" t="s">
        <v>495</v>
      </c>
      <c r="H115" t="s">
        <v>499</v>
      </c>
      <c r="I115" t="s">
        <v>491</v>
      </c>
      <c r="J115" s="12">
        <v>2</v>
      </c>
      <c r="M115" s="23" t="s">
        <v>3</v>
      </c>
    </row>
    <row r="116" spans="3:13" ht="18.75">
      <c r="C116" s="16"/>
      <c r="D116" s="16" t="s">
        <v>501</v>
      </c>
      <c r="H116" t="s">
        <v>500</v>
      </c>
      <c r="I116" t="s">
        <v>491</v>
      </c>
      <c r="J116">
        <f>(J113+J114)*2+J115</f>
        <v>5.38</v>
      </c>
      <c r="M116" s="23" t="s">
        <v>3</v>
      </c>
    </row>
    <row r="117" spans="3:13" ht="18.75">
      <c r="C117" s="16"/>
      <c r="M117" s="23"/>
    </row>
    <row r="118" spans="2:5" ht="18.75">
      <c r="B118" s="16" t="s">
        <v>113</v>
      </c>
      <c r="E118" t="s">
        <v>114</v>
      </c>
    </row>
    <row r="119" spans="3:9" ht="18.75">
      <c r="C119" t="s">
        <v>115</v>
      </c>
      <c r="H119" s="12">
        <v>6</v>
      </c>
      <c r="I119" s="3" t="s">
        <v>6</v>
      </c>
    </row>
    <row r="120" spans="3:10" ht="18.75">
      <c r="C120" t="s">
        <v>94</v>
      </c>
      <c r="I120" s="12">
        <v>1</v>
      </c>
      <c r="J120" s="3" t="s">
        <v>6</v>
      </c>
    </row>
    <row r="121" spans="3:10" ht="18.75">
      <c r="C121" t="s">
        <v>117</v>
      </c>
      <c r="I121" s="17"/>
      <c r="J121" s="3"/>
    </row>
    <row r="122" spans="4:9" ht="18.75">
      <c r="D122" t="s">
        <v>51</v>
      </c>
      <c r="F122" s="15" t="s">
        <v>31</v>
      </c>
      <c r="G122" s="2">
        <v>10</v>
      </c>
      <c r="I122" t="s">
        <v>43</v>
      </c>
    </row>
    <row r="123" spans="4:9" ht="18.75">
      <c r="D123" t="s">
        <v>53</v>
      </c>
      <c r="F123" s="15" t="s">
        <v>31</v>
      </c>
      <c r="G123" s="2">
        <v>5</v>
      </c>
      <c r="I123" t="s">
        <v>43</v>
      </c>
    </row>
    <row r="124" spans="4:9" ht="18.75">
      <c r="D124" t="s">
        <v>116</v>
      </c>
      <c r="F124" s="15" t="s">
        <v>31</v>
      </c>
      <c r="G124" s="2">
        <f>G123+G122</f>
        <v>15</v>
      </c>
      <c r="I124" t="s">
        <v>43</v>
      </c>
    </row>
    <row r="125" spans="3:10" ht="18.75">
      <c r="C125" t="s">
        <v>101</v>
      </c>
      <c r="F125" s="15" t="s">
        <v>31</v>
      </c>
      <c r="G125" s="2">
        <f>G124*H119*I120</f>
        <v>90</v>
      </c>
      <c r="I125" s="19" t="s">
        <v>5</v>
      </c>
      <c r="J125" s="19" t="s">
        <v>105</v>
      </c>
    </row>
    <row r="127" s="250" customFormat="1" ht="18.75">
      <c r="G127" s="253"/>
    </row>
  </sheetData>
  <mergeCells count="4">
    <mergeCell ref="G35:H35"/>
    <mergeCell ref="I35:J35"/>
    <mergeCell ref="G45:H45"/>
    <mergeCell ref="I45:J45"/>
  </mergeCells>
  <printOptions/>
  <pageMargins left="0.9448818897637796" right="0.35433070866141736" top="0.67" bottom="0.2755905511811024" header="0.49" footer="0.433070866141732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workbookViewId="0" topLeftCell="A22">
      <selection activeCell="D33" sqref="D33"/>
    </sheetView>
  </sheetViews>
  <sheetFormatPr defaultColWidth="9.33203125" defaultRowHeight="18.75"/>
  <cols>
    <col min="2" max="2" width="17.33203125" style="3" customWidth="1"/>
    <col min="3" max="3" width="2.33203125" style="0" customWidth="1"/>
    <col min="4" max="4" width="13.66015625" style="0" customWidth="1"/>
    <col min="5" max="5" width="9.66015625" style="0" bestFit="1" customWidth="1"/>
    <col min="8" max="8" width="6" style="0" customWidth="1"/>
    <col min="9" max="9" width="13.16015625" style="0" customWidth="1"/>
    <col min="10" max="10" width="9.33203125" style="250" customWidth="1"/>
  </cols>
  <sheetData>
    <row r="2" ht="23.25">
      <c r="C2" s="174" t="s">
        <v>433</v>
      </c>
    </row>
    <row r="3" ht="10.5" customHeight="1">
      <c r="C3" s="174"/>
    </row>
    <row r="4" spans="2:7" ht="23.25">
      <c r="B4" s="3" t="s">
        <v>434</v>
      </c>
      <c r="C4" s="174" t="s">
        <v>435</v>
      </c>
      <c r="D4" t="s">
        <v>436</v>
      </c>
      <c r="E4">
        <v>2400</v>
      </c>
      <c r="G4" t="s">
        <v>1</v>
      </c>
    </row>
    <row r="5" spans="2:7" ht="23.25">
      <c r="B5" s="3" t="s">
        <v>437</v>
      </c>
      <c r="C5" s="174" t="s">
        <v>435</v>
      </c>
      <c r="D5" t="s">
        <v>438</v>
      </c>
      <c r="E5" s="12">
        <v>20</v>
      </c>
      <c r="G5" t="s">
        <v>3</v>
      </c>
    </row>
    <row r="6" spans="4:7" ht="18.75">
      <c r="D6" t="s">
        <v>439</v>
      </c>
      <c r="E6" s="12">
        <v>20</v>
      </c>
      <c r="G6" t="s">
        <v>3</v>
      </c>
    </row>
    <row r="7" spans="4:7" ht="18.75">
      <c r="D7" t="s">
        <v>440</v>
      </c>
      <c r="E7" s="12">
        <v>3.7</v>
      </c>
      <c r="G7" t="s">
        <v>3</v>
      </c>
    </row>
    <row r="8" spans="2:7" ht="18.75">
      <c r="B8" s="3" t="s">
        <v>441</v>
      </c>
      <c r="C8" s="15" t="s">
        <v>31</v>
      </c>
      <c r="D8" t="s">
        <v>442</v>
      </c>
      <c r="E8" s="26">
        <f>E6/2-E7/2</f>
        <v>8.15</v>
      </c>
      <c r="G8" t="s">
        <v>3</v>
      </c>
    </row>
    <row r="9" spans="2:7" ht="18.75">
      <c r="B9" s="3" t="s">
        <v>14</v>
      </c>
      <c r="C9" s="15" t="s">
        <v>31</v>
      </c>
      <c r="D9" s="12">
        <v>4330.5</v>
      </c>
      <c r="G9" t="s">
        <v>259</v>
      </c>
    </row>
    <row r="10" spans="2:7" ht="18.75">
      <c r="B10" s="3" t="s">
        <v>366</v>
      </c>
      <c r="C10" s="15" t="s">
        <v>31</v>
      </c>
      <c r="D10" t="s">
        <v>443</v>
      </c>
      <c r="E10" s="17">
        <f>D9/E5/E6</f>
        <v>10.82625</v>
      </c>
      <c r="G10" t="s">
        <v>444</v>
      </c>
    </row>
    <row r="11" spans="2:7" ht="18.75">
      <c r="B11" s="3" t="s">
        <v>346</v>
      </c>
      <c r="C11" s="15" t="s">
        <v>31</v>
      </c>
      <c r="D11" t="s">
        <v>445</v>
      </c>
      <c r="E11">
        <f>E10*E8*E8/2</f>
        <v>359.55329531250004</v>
      </c>
      <c r="G11" t="s">
        <v>446</v>
      </c>
    </row>
    <row r="12" spans="2:7" ht="18.75">
      <c r="B12" s="3" t="s">
        <v>447</v>
      </c>
      <c r="C12" s="15" t="s">
        <v>31</v>
      </c>
      <c r="D12" s="19" t="s">
        <v>448</v>
      </c>
      <c r="E12" s="15"/>
      <c r="F12" s="17">
        <f>(6*E11/0.75/E4)^0.5</f>
        <v>1.0947652645087897</v>
      </c>
      <c r="G12" t="s">
        <v>3</v>
      </c>
    </row>
    <row r="13" spans="3:7" ht="18.75">
      <c r="C13" s="15"/>
      <c r="D13" s="19" t="s">
        <v>449</v>
      </c>
      <c r="E13" s="249">
        <v>20</v>
      </c>
      <c r="G13" t="s">
        <v>450</v>
      </c>
    </row>
    <row r="14" ht="31.5" customHeight="1"/>
    <row r="15" ht="23.25">
      <c r="C15" s="174" t="s">
        <v>451</v>
      </c>
    </row>
    <row r="16" ht="9" customHeight="1">
      <c r="C16" s="174"/>
    </row>
    <row r="17" spans="2:7" ht="23.25">
      <c r="B17" s="3" t="s">
        <v>503</v>
      </c>
      <c r="C17" s="174" t="s">
        <v>435</v>
      </c>
      <c r="D17" t="s">
        <v>436</v>
      </c>
      <c r="E17">
        <v>2400</v>
      </c>
      <c r="G17" t="s">
        <v>1</v>
      </c>
    </row>
    <row r="18" spans="2:7" ht="23.25">
      <c r="B18" s="3" t="s">
        <v>452</v>
      </c>
      <c r="C18" s="174" t="s">
        <v>435</v>
      </c>
      <c r="D18" t="s">
        <v>453</v>
      </c>
      <c r="E18">
        <v>700</v>
      </c>
      <c r="G18" t="s">
        <v>1</v>
      </c>
    </row>
    <row r="19" spans="4:7" ht="18.75">
      <c r="D19" t="s">
        <v>454</v>
      </c>
      <c r="E19" t="s">
        <v>455</v>
      </c>
      <c r="F19">
        <f>E17*1.35</f>
        <v>3240</v>
      </c>
      <c r="G19" t="s">
        <v>1</v>
      </c>
    </row>
    <row r="20" spans="4:7" ht="18.75">
      <c r="D20" s="3" t="s">
        <v>456</v>
      </c>
      <c r="E20" s="260">
        <v>2</v>
      </c>
      <c r="G20" t="s">
        <v>3</v>
      </c>
    </row>
    <row r="21" spans="4:7" ht="18.75">
      <c r="D21" s="3" t="s">
        <v>457</v>
      </c>
      <c r="E21" s="260">
        <v>2</v>
      </c>
      <c r="G21" t="s">
        <v>3</v>
      </c>
    </row>
    <row r="22" ht="18.75">
      <c r="B22" s="19" t="s">
        <v>504</v>
      </c>
    </row>
    <row r="23" spans="2:7" ht="18.75">
      <c r="B23" s="3" t="s">
        <v>460</v>
      </c>
      <c r="C23" s="15" t="s">
        <v>31</v>
      </c>
      <c r="D23" t="s">
        <v>458</v>
      </c>
      <c r="G23" t="s">
        <v>459</v>
      </c>
    </row>
    <row r="24" spans="3:7" ht="18.75">
      <c r="C24" s="15" t="s">
        <v>31</v>
      </c>
      <c r="D24">
        <f>E21*E20*F19</f>
        <v>12960</v>
      </c>
      <c r="G24" t="s">
        <v>459</v>
      </c>
    </row>
    <row r="25" ht="18.75">
      <c r="B25" s="19" t="s">
        <v>505</v>
      </c>
    </row>
    <row r="26" spans="2:7" ht="18.75">
      <c r="B26" s="3" t="s">
        <v>506</v>
      </c>
      <c r="C26" s="15" t="s">
        <v>31</v>
      </c>
      <c r="D26" t="s">
        <v>461</v>
      </c>
      <c r="G26" t="s">
        <v>459</v>
      </c>
    </row>
    <row r="27" spans="3:7" ht="18.75">
      <c r="C27" s="15" t="s">
        <v>31</v>
      </c>
      <c r="D27">
        <f>3.414*E21^2/4*E18</f>
        <v>2389.8</v>
      </c>
      <c r="G27" t="s">
        <v>459</v>
      </c>
    </row>
    <row r="29" spans="2:7" ht="18.75">
      <c r="B29" s="3" t="s">
        <v>464</v>
      </c>
      <c r="C29" s="15" t="s">
        <v>31</v>
      </c>
      <c r="D29" s="12">
        <v>44</v>
      </c>
      <c r="G29" t="s">
        <v>259</v>
      </c>
    </row>
    <row r="30" spans="2:9" ht="18.75">
      <c r="B30" s="3" t="s">
        <v>462</v>
      </c>
      <c r="D30" t="s">
        <v>465</v>
      </c>
      <c r="E30" s="225">
        <f>D29/D24</f>
        <v>0.0033950617283950617</v>
      </c>
      <c r="G30" t="s">
        <v>463</v>
      </c>
      <c r="H30" s="7"/>
      <c r="I30" t="s">
        <v>508</v>
      </c>
    </row>
    <row r="31" spans="2:8" ht="18.75">
      <c r="B31" s="3" t="s">
        <v>462</v>
      </c>
      <c r="D31" t="s">
        <v>507</v>
      </c>
      <c r="E31" s="17">
        <f>D29/D27</f>
        <v>0.018411582559209973</v>
      </c>
      <c r="G31" t="s">
        <v>463</v>
      </c>
      <c r="H31" s="6"/>
    </row>
    <row r="32" spans="2:6" ht="18.75">
      <c r="B32" s="3" t="s">
        <v>466</v>
      </c>
      <c r="C32" s="15" t="s">
        <v>31</v>
      </c>
      <c r="D32" s="260">
        <v>4</v>
      </c>
      <c r="F32" t="s">
        <v>463</v>
      </c>
    </row>
    <row r="33" spans="2:6" ht="18.75">
      <c r="B33" s="3" t="s">
        <v>467</v>
      </c>
      <c r="C33" s="15" t="s">
        <v>31</v>
      </c>
      <c r="D33" s="260">
        <f>E21*10</f>
        <v>20</v>
      </c>
      <c r="F33" t="s">
        <v>450</v>
      </c>
    </row>
    <row r="34" spans="2:4" ht="18.75">
      <c r="B34" s="258" t="s">
        <v>509</v>
      </c>
      <c r="C34" s="258"/>
      <c r="D34" s="258"/>
    </row>
    <row r="35" spans="2:7" ht="18.75">
      <c r="B35" s="3" t="s">
        <v>86</v>
      </c>
      <c r="C35" s="15" t="s">
        <v>31</v>
      </c>
      <c r="D35" t="s">
        <v>510</v>
      </c>
      <c r="E35">
        <f>0.6*E17</f>
        <v>1440</v>
      </c>
      <c r="G35" t="s">
        <v>1</v>
      </c>
    </row>
    <row r="36" spans="2:8" ht="18.75">
      <c r="B36" s="3" t="s">
        <v>511</v>
      </c>
      <c r="C36" s="15" t="s">
        <v>31</v>
      </c>
      <c r="D36" t="s">
        <v>512</v>
      </c>
      <c r="H36" t="s">
        <v>513</v>
      </c>
    </row>
    <row r="37" spans="3:8" ht="18.75">
      <c r="C37" s="15" t="s">
        <v>31</v>
      </c>
      <c r="D37">
        <f>E20*(E5-(E21+0.2)*2)</f>
        <v>31.2</v>
      </c>
      <c r="H37" t="s">
        <v>513</v>
      </c>
    </row>
    <row r="38" spans="2:8" ht="18.75">
      <c r="B38" s="3" t="s">
        <v>514</v>
      </c>
      <c r="D38" t="s">
        <v>515</v>
      </c>
      <c r="H38" t="s">
        <v>1</v>
      </c>
    </row>
    <row r="39" spans="4:8" ht="18.75">
      <c r="D39" s="17">
        <f>D29/D37</f>
        <v>1.4102564102564104</v>
      </c>
      <c r="H39" t="s">
        <v>1</v>
      </c>
    </row>
    <row r="40" spans="2:8" ht="18.75">
      <c r="B40" s="3" t="s">
        <v>514</v>
      </c>
      <c r="C40" t="s">
        <v>70</v>
      </c>
      <c r="D40" s="19" t="s">
        <v>86</v>
      </c>
      <c r="H40" s="259" t="s">
        <v>516</v>
      </c>
    </row>
    <row r="41" s="250" customFormat="1" ht="18.75">
      <c r="B41" s="256"/>
    </row>
  </sheetData>
  <printOptions/>
  <pageMargins left="0.75" right="0.75" top="0.73" bottom="0.77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2"/>
  <sheetViews>
    <sheetView workbookViewId="0" topLeftCell="A1">
      <selection activeCell="F5" sqref="F5"/>
    </sheetView>
  </sheetViews>
  <sheetFormatPr defaultColWidth="9.33203125" defaultRowHeight="18.75"/>
  <cols>
    <col min="1" max="1" width="5.5" style="0" customWidth="1"/>
    <col min="2" max="2" width="14.83203125" style="0" customWidth="1"/>
    <col min="3" max="3" width="2" style="0" customWidth="1"/>
    <col min="7" max="7" width="9.16015625" style="0" customWidth="1"/>
    <col min="8" max="8" width="5.33203125" style="0" customWidth="1"/>
    <col min="9" max="9" width="9.5" style="0" customWidth="1"/>
    <col min="10" max="10" width="3.33203125" style="0" customWidth="1"/>
    <col min="13" max="13" width="4.33203125" style="0" customWidth="1"/>
    <col min="14" max="14" width="11.16015625" style="0" customWidth="1"/>
    <col min="15" max="15" width="7.16015625" style="0" customWidth="1"/>
  </cols>
  <sheetData>
    <row r="3" ht="29.25">
      <c r="F3" s="223" t="s">
        <v>397</v>
      </c>
    </row>
    <row r="4" spans="5:6" ht="21">
      <c r="E4" s="4" t="s">
        <v>398</v>
      </c>
      <c r="F4" t="s">
        <v>517</v>
      </c>
    </row>
    <row r="5" ht="21">
      <c r="B5" s="4" t="s">
        <v>399</v>
      </c>
    </row>
    <row r="6" spans="3:7" ht="18.75">
      <c r="C6" t="s">
        <v>381</v>
      </c>
      <c r="D6" t="s">
        <v>400</v>
      </c>
      <c r="G6" t="s">
        <v>401</v>
      </c>
    </row>
    <row r="7" spans="3:4" ht="18.75">
      <c r="C7" t="s">
        <v>381</v>
      </c>
      <c r="D7" t="s">
        <v>402</v>
      </c>
    </row>
    <row r="8" spans="3:4" ht="18.75">
      <c r="C8" t="s">
        <v>381</v>
      </c>
      <c r="D8" t="s">
        <v>403</v>
      </c>
    </row>
    <row r="9" ht="21">
      <c r="B9" s="4" t="s">
        <v>404</v>
      </c>
    </row>
    <row r="10" spans="3:12" ht="18.75">
      <c r="C10" t="s">
        <v>381</v>
      </c>
      <c r="D10" t="s">
        <v>405</v>
      </c>
      <c r="J10" t="s">
        <v>31</v>
      </c>
      <c r="K10">
        <v>173</v>
      </c>
      <c r="L10" s="3" t="s">
        <v>406</v>
      </c>
    </row>
    <row r="11" spans="3:12" ht="18.75">
      <c r="C11" t="s">
        <v>381</v>
      </c>
      <c r="D11" t="s">
        <v>407</v>
      </c>
      <c r="J11" t="s">
        <v>31</v>
      </c>
      <c r="K11">
        <v>65</v>
      </c>
      <c r="L11" s="3" t="s">
        <v>406</v>
      </c>
    </row>
    <row r="12" spans="3:13" ht="18.75">
      <c r="C12" t="s">
        <v>381</v>
      </c>
      <c r="D12" t="s">
        <v>408</v>
      </c>
      <c r="J12" t="s">
        <v>31</v>
      </c>
      <c r="K12" s="224">
        <v>4000</v>
      </c>
      <c r="L12" s="3" t="s">
        <v>406</v>
      </c>
      <c r="M12" s="224"/>
    </row>
    <row r="13" spans="3:13" ht="18.75">
      <c r="C13" t="s">
        <v>381</v>
      </c>
      <c r="D13" t="s">
        <v>409</v>
      </c>
      <c r="J13" t="s">
        <v>31</v>
      </c>
      <c r="K13" s="224">
        <v>2400</v>
      </c>
      <c r="L13" s="3" t="s">
        <v>406</v>
      </c>
      <c r="M13" s="224"/>
    </row>
    <row r="14" spans="3:13" ht="18.75">
      <c r="C14" t="s">
        <v>381</v>
      </c>
      <c r="D14" t="s">
        <v>410</v>
      </c>
      <c r="J14" t="s">
        <v>31</v>
      </c>
      <c r="K14" s="224">
        <v>2400</v>
      </c>
      <c r="L14" s="3" t="s">
        <v>406</v>
      </c>
      <c r="M14" s="224"/>
    </row>
    <row r="16" ht="29.25">
      <c r="F16" s="223" t="s">
        <v>411</v>
      </c>
    </row>
    <row r="17" ht="23.25">
      <c r="B17" s="174" t="s">
        <v>412</v>
      </c>
    </row>
    <row r="18" spans="2:9" ht="21">
      <c r="B18" s="4" t="s">
        <v>413</v>
      </c>
      <c r="I18" s="4" t="s">
        <v>414</v>
      </c>
    </row>
    <row r="19" spans="2:14" ht="18.75">
      <c r="B19" t="s">
        <v>415</v>
      </c>
      <c r="C19" t="s">
        <v>31</v>
      </c>
      <c r="D19">
        <v>173</v>
      </c>
      <c r="E19" s="13" t="s">
        <v>1</v>
      </c>
      <c r="I19" t="s">
        <v>415</v>
      </c>
      <c r="J19" t="s">
        <v>31</v>
      </c>
      <c r="K19">
        <v>173</v>
      </c>
      <c r="L19" s="13" t="s">
        <v>1</v>
      </c>
      <c r="N19" s="13"/>
    </row>
    <row r="20" spans="2:14" ht="18.75">
      <c r="B20" t="s">
        <v>416</v>
      </c>
      <c r="C20" t="s">
        <v>31</v>
      </c>
      <c r="D20" s="224">
        <v>1700</v>
      </c>
      <c r="E20" s="13" t="s">
        <v>1</v>
      </c>
      <c r="I20" t="s">
        <v>416</v>
      </c>
      <c r="J20" t="s">
        <v>31</v>
      </c>
      <c r="K20" s="224">
        <v>1200</v>
      </c>
      <c r="L20" s="13" t="s">
        <v>1</v>
      </c>
      <c r="N20" s="13"/>
    </row>
    <row r="21" spans="2:14" ht="18.75">
      <c r="B21" t="s">
        <v>417</v>
      </c>
      <c r="C21" t="s">
        <v>31</v>
      </c>
      <c r="D21">
        <v>65</v>
      </c>
      <c r="E21" s="13" t="s">
        <v>1</v>
      </c>
      <c r="I21" t="s">
        <v>417</v>
      </c>
      <c r="J21" t="s">
        <v>31</v>
      </c>
      <c r="K21">
        <v>65</v>
      </c>
      <c r="L21" s="13" t="s">
        <v>1</v>
      </c>
      <c r="N21" s="13"/>
    </row>
    <row r="22" spans="2:11" ht="18.75">
      <c r="B22" t="s">
        <v>418</v>
      </c>
      <c r="C22" t="s">
        <v>31</v>
      </c>
      <c r="D22" s="225">
        <f>1/(1+D20/D25/D21)</f>
        <v>0.2805187140231793</v>
      </c>
      <c r="I22" t="s">
        <v>418</v>
      </c>
      <c r="J22" t="s">
        <v>31</v>
      </c>
      <c r="K22" s="225">
        <f>1/(1+K20/K25/K21)</f>
        <v>0.3558130830011292</v>
      </c>
    </row>
    <row r="23" spans="2:11" ht="18.75">
      <c r="B23" t="s">
        <v>419</v>
      </c>
      <c r="C23" t="s">
        <v>31</v>
      </c>
      <c r="D23" s="225">
        <f>1-D22/3</f>
        <v>0.9064937619922736</v>
      </c>
      <c r="I23" t="s">
        <v>419</v>
      </c>
      <c r="J23" t="s">
        <v>31</v>
      </c>
      <c r="K23" s="225">
        <f>1-K22/3</f>
        <v>0.8813956389996236</v>
      </c>
    </row>
    <row r="24" spans="2:14" ht="18.75">
      <c r="B24" t="s">
        <v>203</v>
      </c>
      <c r="C24" t="s">
        <v>31</v>
      </c>
      <c r="D24" s="225">
        <f>1/2*D21*D22*D23</f>
        <v>8.264375092483464</v>
      </c>
      <c r="E24" s="13" t="s">
        <v>1</v>
      </c>
      <c r="I24" t="s">
        <v>203</v>
      </c>
      <c r="J24" t="s">
        <v>31</v>
      </c>
      <c r="K24" s="225">
        <f>1/2*K21*K22*K23</f>
        <v>10.192393238826707</v>
      </c>
      <c r="L24" s="13" t="s">
        <v>1</v>
      </c>
      <c r="N24" s="13"/>
    </row>
    <row r="25" spans="2:11" ht="18.75">
      <c r="B25" t="s">
        <v>420</v>
      </c>
      <c r="C25" t="s">
        <v>31</v>
      </c>
      <c r="D25" s="225">
        <f>2.04*10^6/15210/D19^(1/2)</f>
        <v>10.197128727088753</v>
      </c>
      <c r="I25" t="s">
        <v>420</v>
      </c>
      <c r="J25" t="s">
        <v>31</v>
      </c>
      <c r="K25" s="225">
        <f>2.04*10^6/15210/K19^(1/2)</f>
        <v>10.197128727088753</v>
      </c>
    </row>
    <row r="27" spans="2:16" ht="21">
      <c r="B27" s="226"/>
      <c r="C27" s="227" t="s">
        <v>421</v>
      </c>
      <c r="D27" s="228"/>
      <c r="E27" s="229"/>
      <c r="G27" s="226"/>
      <c r="H27" s="228"/>
      <c r="I27" s="230"/>
      <c r="J27" s="231" t="s">
        <v>422</v>
      </c>
      <c r="K27" s="228"/>
      <c r="L27" s="228"/>
      <c r="M27" s="228"/>
      <c r="N27" s="229"/>
      <c r="O27" s="6"/>
      <c r="P27" s="232"/>
    </row>
    <row r="28" spans="2:16" ht="18.75">
      <c r="B28" s="233" t="s">
        <v>423</v>
      </c>
      <c r="C28" s="228" t="s">
        <v>31</v>
      </c>
      <c r="D28" s="234">
        <v>2400</v>
      </c>
      <c r="E28" s="229" t="s">
        <v>424</v>
      </c>
      <c r="G28" s="233"/>
      <c r="H28" s="235" t="s">
        <v>425</v>
      </c>
      <c r="I28" s="236" t="s">
        <v>31</v>
      </c>
      <c r="J28" s="228" t="s">
        <v>426</v>
      </c>
      <c r="K28" s="228"/>
      <c r="L28" s="228"/>
      <c r="M28" s="228"/>
      <c r="N28" s="229"/>
      <c r="O28" s="6"/>
      <c r="P28" s="232"/>
    </row>
    <row r="29" spans="2:16" ht="18.75">
      <c r="B29" s="233" t="s">
        <v>427</v>
      </c>
      <c r="C29" s="228" t="s">
        <v>31</v>
      </c>
      <c r="D29" s="234">
        <v>7850</v>
      </c>
      <c r="E29" s="229" t="s">
        <v>424</v>
      </c>
      <c r="G29" s="237" t="s">
        <v>425</v>
      </c>
      <c r="H29" s="238" t="s">
        <v>428</v>
      </c>
      <c r="I29" s="239">
        <v>10</v>
      </c>
      <c r="J29" s="238"/>
      <c r="K29" s="238"/>
      <c r="L29" s="237" t="s">
        <v>314</v>
      </c>
      <c r="M29" s="239">
        <v>50</v>
      </c>
      <c r="N29" s="240" t="s">
        <v>429</v>
      </c>
      <c r="O29" s="241"/>
      <c r="P29" s="232"/>
    </row>
    <row r="30" spans="2:16" ht="18.75">
      <c r="B30" s="233" t="s">
        <v>430</v>
      </c>
      <c r="C30" s="228" t="s">
        <v>31</v>
      </c>
      <c r="D30" s="234">
        <v>1600</v>
      </c>
      <c r="E30" s="229" t="s">
        <v>424</v>
      </c>
      <c r="G30" s="242">
        <v>10</v>
      </c>
      <c r="H30" s="243" t="s">
        <v>70</v>
      </c>
      <c r="I30" s="244" t="s">
        <v>425</v>
      </c>
      <c r="J30" s="243" t="s">
        <v>428</v>
      </c>
      <c r="K30" s="244">
        <v>20</v>
      </c>
      <c r="L30" s="242" t="s">
        <v>314</v>
      </c>
      <c r="M30" s="244">
        <v>80</v>
      </c>
      <c r="N30" s="245" t="s">
        <v>429</v>
      </c>
      <c r="O30" s="241"/>
      <c r="P30" s="232"/>
    </row>
    <row r="31" spans="2:16" ht="18.75">
      <c r="B31" s="233" t="s">
        <v>431</v>
      </c>
      <c r="C31" s="228" t="s">
        <v>31</v>
      </c>
      <c r="D31" s="234">
        <v>1000</v>
      </c>
      <c r="E31" s="229" t="s">
        <v>424</v>
      </c>
      <c r="G31" s="242">
        <v>20</v>
      </c>
      <c r="H31" s="243" t="s">
        <v>70</v>
      </c>
      <c r="I31" s="244" t="s">
        <v>425</v>
      </c>
      <c r="J31" s="243" t="s">
        <v>428</v>
      </c>
      <c r="K31" s="244">
        <v>40</v>
      </c>
      <c r="L31" s="242" t="s">
        <v>314</v>
      </c>
      <c r="M31" s="244">
        <v>120</v>
      </c>
      <c r="N31" s="245" t="s">
        <v>429</v>
      </c>
      <c r="O31" s="241"/>
      <c r="P31" s="232"/>
    </row>
    <row r="32" spans="2:16" ht="18.75">
      <c r="B32" s="233" t="s">
        <v>432</v>
      </c>
      <c r="C32" s="228" t="s">
        <v>31</v>
      </c>
      <c r="D32" s="228">
        <v>550</v>
      </c>
      <c r="E32" s="229" t="s">
        <v>429</v>
      </c>
      <c r="G32" s="7"/>
      <c r="H32" s="1"/>
      <c r="I32" s="246" t="s">
        <v>425</v>
      </c>
      <c r="J32" s="1" t="s">
        <v>90</v>
      </c>
      <c r="K32" s="246">
        <v>40</v>
      </c>
      <c r="L32" s="247" t="s">
        <v>314</v>
      </c>
      <c r="M32" s="246">
        <v>160</v>
      </c>
      <c r="N32" s="248" t="s">
        <v>429</v>
      </c>
      <c r="O32" s="241"/>
      <c r="P32" s="23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D7" sqref="D7"/>
    </sheetView>
  </sheetViews>
  <sheetFormatPr defaultColWidth="9.33203125" defaultRowHeight="18.75"/>
  <cols>
    <col min="2" max="2" width="12.83203125" style="0" customWidth="1"/>
    <col min="3" max="3" width="3.5" style="0" customWidth="1"/>
    <col min="4" max="4" width="4.5" style="0" customWidth="1"/>
    <col min="5" max="5" width="4.16015625" style="0" customWidth="1"/>
    <col min="6" max="6" width="3.66015625" style="0" customWidth="1"/>
    <col min="7" max="7" width="9.5" style="2" customWidth="1"/>
    <col min="8" max="8" width="11.33203125" style="0" customWidth="1"/>
    <col min="10" max="10" width="11.66015625" style="0" bestFit="1" customWidth="1"/>
    <col min="13" max="13" width="9.33203125" style="26" customWidth="1"/>
    <col min="14" max="14" width="9.33203125" style="250" customWidth="1"/>
    <col min="15" max="15" width="9.33203125" style="26" customWidth="1"/>
  </cols>
  <sheetData>
    <row r="2" ht="23.25">
      <c r="E2" s="174" t="s">
        <v>309</v>
      </c>
    </row>
    <row r="3" ht="9" customHeight="1"/>
    <row r="4" spans="1:11" ht="18.75">
      <c r="A4" s="26"/>
      <c r="B4" s="30" t="s">
        <v>282</v>
      </c>
      <c r="C4" s="30" t="s">
        <v>283</v>
      </c>
      <c r="D4" s="30"/>
      <c r="E4" s="26"/>
      <c r="F4" s="26"/>
      <c r="G4" s="22"/>
      <c r="H4" s="26"/>
      <c r="I4" s="26"/>
      <c r="J4" s="26"/>
      <c r="K4" s="26"/>
    </row>
    <row r="5" spans="1:11" ht="18.75">
      <c r="A5" s="26"/>
      <c r="B5" s="26"/>
      <c r="C5" s="26" t="s">
        <v>29</v>
      </c>
      <c r="D5" s="26" t="s">
        <v>284</v>
      </c>
      <c r="E5" s="26"/>
      <c r="F5" s="169"/>
      <c r="G5" s="22"/>
      <c r="H5" s="26"/>
      <c r="I5" s="26"/>
      <c r="J5" s="22"/>
      <c r="K5" s="26"/>
    </row>
    <row r="6" spans="1:11" ht="18.75">
      <c r="A6" s="26"/>
      <c r="B6" s="26"/>
      <c r="C6" s="26" t="s">
        <v>34</v>
      </c>
      <c r="D6" s="26" t="s">
        <v>527</v>
      </c>
      <c r="E6" s="26"/>
      <c r="F6" s="169"/>
      <c r="G6" s="22"/>
      <c r="H6" s="26"/>
      <c r="I6" s="26"/>
      <c r="J6" s="22"/>
      <c r="K6" s="26"/>
    </row>
    <row r="7" spans="1:11" ht="18.75">
      <c r="A7" s="26"/>
      <c r="B7" s="26"/>
      <c r="C7" s="26" t="s">
        <v>36</v>
      </c>
      <c r="D7" s="26" t="s">
        <v>389</v>
      </c>
      <c r="E7" s="26"/>
      <c r="F7" s="169"/>
      <c r="G7" s="22"/>
      <c r="H7" s="26"/>
      <c r="I7" s="26"/>
      <c r="J7" s="26"/>
      <c r="K7" s="26"/>
    </row>
    <row r="8" spans="1:11" ht="18.75">
      <c r="A8" s="26"/>
      <c r="B8" s="26"/>
      <c r="C8" s="26" t="s">
        <v>134</v>
      </c>
      <c r="D8" s="26" t="s">
        <v>285</v>
      </c>
      <c r="E8" s="26"/>
      <c r="F8" s="169"/>
      <c r="G8" s="22"/>
      <c r="H8" s="26"/>
      <c r="I8" s="26"/>
      <c r="J8" s="170"/>
      <c r="K8" s="26"/>
    </row>
    <row r="9" spans="1:11" ht="18.75">
      <c r="A9" s="26"/>
      <c r="B9" s="168"/>
      <c r="C9" s="26"/>
      <c r="D9" s="26" t="s">
        <v>286</v>
      </c>
      <c r="E9" s="26"/>
      <c r="F9" s="26"/>
      <c r="G9" s="22"/>
      <c r="H9" s="26"/>
      <c r="I9" s="26"/>
      <c r="J9" s="26"/>
      <c r="K9" s="26"/>
    </row>
    <row r="10" spans="1:11" ht="18.75">
      <c r="A10" s="26"/>
      <c r="B10" s="26"/>
      <c r="C10" s="26"/>
      <c r="D10" s="26" t="s">
        <v>287</v>
      </c>
      <c r="E10" s="26"/>
      <c r="F10" s="26"/>
      <c r="G10" s="22"/>
      <c r="H10" s="26" t="s">
        <v>288</v>
      </c>
      <c r="I10" s="26">
        <v>40</v>
      </c>
      <c r="J10" s="26" t="s">
        <v>3</v>
      </c>
      <c r="K10" s="26"/>
    </row>
    <row r="11" spans="1:11" ht="18.75">
      <c r="A11" s="26"/>
      <c r="B11" s="26"/>
      <c r="C11" s="26"/>
      <c r="D11" s="26"/>
      <c r="E11" s="26"/>
      <c r="F11" s="26"/>
      <c r="G11" s="22"/>
      <c r="H11" s="26" t="s">
        <v>289</v>
      </c>
      <c r="I11" s="26">
        <v>60</v>
      </c>
      <c r="J11" s="26" t="s">
        <v>3</v>
      </c>
      <c r="K11" s="26"/>
    </row>
    <row r="12" spans="1:11" ht="18.75">
      <c r="A12" s="26"/>
      <c r="B12" s="26"/>
      <c r="C12" s="169"/>
      <c r="D12" s="26" t="s">
        <v>290</v>
      </c>
      <c r="E12" s="26"/>
      <c r="F12" s="26"/>
      <c r="G12" s="22"/>
      <c r="H12" s="26"/>
      <c r="I12" s="26">
        <v>20</v>
      </c>
      <c r="J12" s="26" t="s">
        <v>3</v>
      </c>
      <c r="K12" s="26"/>
    </row>
    <row r="13" spans="1:11" ht="18.75">
      <c r="A13" s="26"/>
      <c r="B13" s="26"/>
      <c r="C13" s="26"/>
      <c r="D13" s="26" t="s">
        <v>291</v>
      </c>
      <c r="E13" s="26"/>
      <c r="F13" s="169"/>
      <c r="G13" s="22">
        <v>173.33</v>
      </c>
      <c r="H13" s="26" t="s">
        <v>1</v>
      </c>
      <c r="I13" s="26"/>
      <c r="J13" s="26"/>
      <c r="K13" s="26"/>
    </row>
    <row r="14" spans="1:11" ht="18.75">
      <c r="A14" s="26"/>
      <c r="B14" s="26"/>
      <c r="C14" s="26"/>
      <c r="D14" s="26" t="s">
        <v>292</v>
      </c>
      <c r="E14" s="26"/>
      <c r="F14" s="169"/>
      <c r="G14" s="172" t="s">
        <v>293</v>
      </c>
      <c r="H14" s="26" t="s">
        <v>294</v>
      </c>
      <c r="I14" s="170">
        <f>0.53*G13^0.5</f>
        <v>6.977707144900823</v>
      </c>
      <c r="J14" s="26" t="s">
        <v>1</v>
      </c>
      <c r="K14" s="26"/>
    </row>
    <row r="15" spans="1:11" ht="18.75">
      <c r="A15" s="26"/>
      <c r="B15" s="26"/>
      <c r="C15" s="169"/>
      <c r="D15" s="168" t="s">
        <v>295</v>
      </c>
      <c r="E15" s="26"/>
      <c r="F15" s="169"/>
      <c r="G15" s="22" t="s">
        <v>296</v>
      </c>
      <c r="H15" s="26" t="s">
        <v>297</v>
      </c>
      <c r="I15" s="26">
        <f>I12-3</f>
        <v>17</v>
      </c>
      <c r="J15" s="26" t="s">
        <v>3</v>
      </c>
      <c r="K15" s="26"/>
    </row>
    <row r="16" spans="1:11" ht="18.75">
      <c r="A16" s="26"/>
      <c r="B16" s="26"/>
      <c r="C16" s="26"/>
      <c r="D16" s="26" t="s">
        <v>300</v>
      </c>
      <c r="E16" s="26"/>
      <c r="F16" s="169"/>
      <c r="G16" s="22"/>
      <c r="H16" s="26" t="s">
        <v>298</v>
      </c>
      <c r="I16" s="26"/>
      <c r="J16" s="26"/>
      <c r="K16" s="26" t="s">
        <v>130</v>
      </c>
    </row>
    <row r="17" spans="1:11" ht="18.75">
      <c r="A17" s="26"/>
      <c r="B17" s="26"/>
      <c r="C17" s="26"/>
      <c r="D17" s="26"/>
      <c r="E17" s="26"/>
      <c r="F17" s="169"/>
      <c r="G17" s="22" t="s">
        <v>301</v>
      </c>
      <c r="H17" s="26">
        <f>((I10+I15)*2+(I11+I15)*2)*I15</f>
        <v>4556</v>
      </c>
      <c r="I17" s="26"/>
      <c r="J17" s="26"/>
      <c r="K17" s="26" t="s">
        <v>130</v>
      </c>
    </row>
    <row r="18" spans="1:11" ht="18.75">
      <c r="A18" s="26"/>
      <c r="B18" s="26"/>
      <c r="C18" s="26"/>
      <c r="D18" s="26" t="s">
        <v>299</v>
      </c>
      <c r="E18" s="26"/>
      <c r="F18" s="169"/>
      <c r="G18" s="22"/>
      <c r="H18" s="26" t="s">
        <v>302</v>
      </c>
      <c r="I18" s="26">
        <f>I14*H17</f>
        <v>31790.433752168152</v>
      </c>
      <c r="J18" s="26"/>
      <c r="K18" s="26" t="s">
        <v>5</v>
      </c>
    </row>
    <row r="19" spans="1:11" ht="18.75">
      <c r="A19" s="26"/>
      <c r="B19" s="26"/>
      <c r="C19" s="26"/>
      <c r="D19" s="26"/>
      <c r="E19" s="26"/>
      <c r="F19" s="169"/>
      <c r="G19" s="22"/>
      <c r="H19" s="26"/>
      <c r="I19" s="26"/>
      <c r="J19" s="26"/>
      <c r="K19" s="26"/>
    </row>
    <row r="20" spans="1:11" ht="18.75" hidden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23.25" customHeight="1" hidden="1">
      <c r="A21" s="26"/>
      <c r="B21" s="26"/>
      <c r="C21" s="22"/>
      <c r="D21" s="26"/>
      <c r="E21" s="26"/>
      <c r="F21" s="26"/>
      <c r="G21" s="22"/>
      <c r="H21" s="26"/>
      <c r="I21" s="26"/>
      <c r="J21" s="26"/>
      <c r="K21" s="26"/>
    </row>
    <row r="22" spans="1:12" ht="18.75" hidden="1">
      <c r="A22" s="26"/>
      <c r="B22" s="26"/>
      <c r="C22" s="26"/>
      <c r="D22" s="169"/>
      <c r="E22" s="26"/>
      <c r="F22" s="26"/>
      <c r="G22" s="22"/>
      <c r="H22" s="26"/>
      <c r="I22" s="26"/>
      <c r="J22" s="26"/>
      <c r="K22" s="26"/>
      <c r="L22" s="3"/>
    </row>
    <row r="23" spans="1:11" ht="18.75" hidden="1">
      <c r="A23" s="26"/>
      <c r="B23" s="26"/>
      <c r="C23" s="26"/>
      <c r="D23" s="169"/>
      <c r="E23" s="170"/>
      <c r="F23" s="26"/>
      <c r="G23" s="170"/>
      <c r="H23" s="26"/>
      <c r="I23" s="26"/>
      <c r="J23" s="26"/>
      <c r="K23" s="26"/>
    </row>
    <row r="24" spans="1:11" ht="18.75" hidden="1">
      <c r="A24" s="26"/>
      <c r="B24" s="26"/>
      <c r="C24" s="26"/>
      <c r="D24" s="26"/>
      <c r="E24" s="26"/>
      <c r="F24" s="26"/>
      <c r="G24" s="22"/>
      <c r="H24" s="26"/>
      <c r="I24" s="171"/>
      <c r="J24" s="26"/>
      <c r="K24" s="26"/>
    </row>
    <row r="25" spans="1:11" ht="18.75" hidden="1">
      <c r="A25" s="26"/>
      <c r="B25" s="26"/>
      <c r="C25" s="26"/>
      <c r="D25" s="26"/>
      <c r="E25" s="26"/>
      <c r="F25" s="26"/>
      <c r="G25" s="22"/>
      <c r="H25" s="26"/>
      <c r="I25" s="26"/>
      <c r="J25" s="26"/>
      <c r="K25" s="26"/>
    </row>
    <row r="26" spans="1:11" ht="18.75" hidden="1">
      <c r="A26" s="26"/>
      <c r="B26" s="26"/>
      <c r="C26" s="26"/>
      <c r="D26" s="26"/>
      <c r="E26" s="26"/>
      <c r="F26" s="26"/>
      <c r="G26" s="22"/>
      <c r="H26" s="170"/>
      <c r="I26" s="26"/>
      <c r="J26" s="26"/>
      <c r="K26" s="26"/>
    </row>
    <row r="27" spans="1:11" ht="18.75">
      <c r="A27" s="26"/>
      <c r="B27" s="26"/>
      <c r="C27" s="26" t="s">
        <v>137</v>
      </c>
      <c r="D27" s="26" t="s">
        <v>304</v>
      </c>
      <c r="E27" s="26"/>
      <c r="F27" s="26"/>
      <c r="G27" s="26"/>
      <c r="H27" s="26"/>
      <c r="I27" s="26"/>
      <c r="J27" s="26"/>
      <c r="K27" s="26"/>
    </row>
    <row r="28" spans="1:11" ht="18.75">
      <c r="A28" s="26"/>
      <c r="B28" s="26"/>
      <c r="C28" s="22"/>
      <c r="D28" s="26" t="s">
        <v>305</v>
      </c>
      <c r="E28" s="26" t="s">
        <v>306</v>
      </c>
      <c r="F28" s="26"/>
      <c r="G28" s="26"/>
      <c r="H28" s="26"/>
      <c r="I28" s="26"/>
      <c r="J28" s="26"/>
      <c r="K28" s="26"/>
    </row>
    <row r="29" spans="4:8" ht="18.75">
      <c r="D29" t="s">
        <v>307</v>
      </c>
      <c r="E29" t="s">
        <v>388</v>
      </c>
      <c r="H29" t="s">
        <v>308</v>
      </c>
    </row>
    <row r="31" s="250" customFormat="1" ht="18.75">
      <c r="G31" s="253"/>
    </row>
  </sheetData>
  <printOptions/>
  <pageMargins left="0.9448818897637796" right="0.35433070866141736" top="0.75" bottom="0.2755905511811024" header="0.5905511811023623" footer="0.43307086614173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4"/>
  <sheetViews>
    <sheetView tabSelected="1" workbookViewId="0" topLeftCell="A1">
      <selection activeCell="D34" sqref="D34"/>
    </sheetView>
  </sheetViews>
  <sheetFormatPr defaultColWidth="9.33203125" defaultRowHeight="18.75"/>
  <cols>
    <col min="1" max="1" width="4.83203125" style="28" customWidth="1"/>
    <col min="2" max="2" width="52.33203125" style="30" customWidth="1"/>
    <col min="3" max="3" width="5" style="30" customWidth="1"/>
    <col min="4" max="4" width="13.5" style="30" customWidth="1"/>
    <col min="5" max="5" width="9.5" style="31" customWidth="1"/>
    <col min="6" max="6" width="9.33203125" style="30" customWidth="1"/>
    <col min="7" max="7" width="9.33203125" style="35" customWidth="1"/>
    <col min="8" max="8" width="5.5" style="30" bestFit="1" customWidth="1"/>
    <col min="9" max="9" width="52" style="30" bestFit="1" customWidth="1"/>
    <col min="10" max="10" width="2.83203125" style="30" bestFit="1" customWidth="1"/>
    <col min="11" max="11" width="11.16015625" style="30" customWidth="1"/>
    <col min="12" max="12" width="7" style="30" bestFit="1" customWidth="1"/>
    <col min="13" max="13" width="9.33203125" style="30" customWidth="1"/>
    <col min="14" max="14" width="9.33203125" style="185" customWidth="1"/>
    <col min="15" max="15" width="9.33203125" style="30" customWidth="1"/>
    <col min="16" max="16" width="11" style="30" bestFit="1" customWidth="1"/>
    <col min="17" max="17" width="10.33203125" style="30" bestFit="1" customWidth="1"/>
    <col min="18" max="18" width="6.5" style="30" customWidth="1"/>
    <col min="19" max="19" width="6.66015625" style="30" customWidth="1"/>
    <col min="20" max="20" width="8.66015625" style="30" customWidth="1"/>
    <col min="21" max="21" width="11.5" style="30" customWidth="1"/>
    <col min="22" max="23" width="8.66015625" style="30" customWidth="1"/>
    <col min="24" max="25" width="9.33203125" style="30" customWidth="1"/>
    <col min="26" max="26" width="10.5" style="30" bestFit="1" customWidth="1"/>
    <col min="27" max="27" width="10.33203125" style="30" bestFit="1" customWidth="1"/>
    <col min="28" max="28" width="5.83203125" style="30" customWidth="1"/>
    <col min="29" max="29" width="6.66015625" style="30" customWidth="1"/>
    <col min="30" max="30" width="8.66015625" style="30" customWidth="1"/>
    <col min="31" max="31" width="11.5" style="30" bestFit="1" customWidth="1"/>
    <col min="32" max="33" width="8.66015625" style="30" customWidth="1"/>
    <col min="34" max="34" width="9.33203125" style="185" customWidth="1"/>
    <col min="35" max="16384" width="9.33203125" style="30" customWidth="1"/>
  </cols>
  <sheetData>
    <row r="1" spans="2:30" ht="15">
      <c r="B1" s="29" t="s">
        <v>387</v>
      </c>
      <c r="O1" s="32"/>
      <c r="P1" s="28"/>
      <c r="Q1" s="33"/>
      <c r="T1" s="28"/>
      <c r="Y1" s="32"/>
      <c r="Z1" s="28"/>
      <c r="AA1" s="33"/>
      <c r="AD1" s="28"/>
    </row>
    <row r="2" spans="2:30" ht="12.75">
      <c r="B2" s="30" t="s">
        <v>275</v>
      </c>
      <c r="O2" s="34"/>
      <c r="P2" s="28"/>
      <c r="Q2" s="33"/>
      <c r="R2" s="35"/>
      <c r="T2" s="28"/>
      <c r="U2" s="35"/>
      <c r="V2" s="35"/>
      <c r="W2" s="35"/>
      <c r="X2" s="35"/>
      <c r="Y2" s="32"/>
      <c r="Z2" s="28"/>
      <c r="AA2" s="33"/>
      <c r="AB2" s="35"/>
      <c r="AD2" s="28"/>
    </row>
    <row r="3" spans="1:30" ht="12.75">
      <c r="A3" s="28">
        <v>1</v>
      </c>
      <c r="B3" s="36" t="s">
        <v>197</v>
      </c>
      <c r="C3" s="30" t="s">
        <v>16</v>
      </c>
      <c r="D3" s="211">
        <v>2000</v>
      </c>
      <c r="E3" s="31" t="s">
        <v>253</v>
      </c>
      <c r="O3" s="34"/>
      <c r="P3" s="28"/>
      <c r="Q3" s="33"/>
      <c r="R3" s="38"/>
      <c r="T3" s="28"/>
      <c r="U3" s="39"/>
      <c r="V3" s="39"/>
      <c r="W3" s="39"/>
      <c r="X3" s="38"/>
      <c r="Y3" s="32"/>
      <c r="Z3" s="28"/>
      <c r="AA3" s="33"/>
      <c r="AB3" s="38"/>
      <c r="AD3" s="28"/>
    </row>
    <row r="4" spans="1:34" s="42" customFormat="1" ht="12.75">
      <c r="A4" s="40"/>
      <c r="B4" s="41" t="s">
        <v>198</v>
      </c>
      <c r="C4" s="42" t="s">
        <v>31</v>
      </c>
      <c r="D4" s="212">
        <v>173.33</v>
      </c>
      <c r="E4" s="44" t="s">
        <v>199</v>
      </c>
      <c r="F4" s="41"/>
      <c r="G4" s="201"/>
      <c r="N4" s="187"/>
      <c r="O4" s="34"/>
      <c r="P4" s="28"/>
      <c r="Q4" s="33"/>
      <c r="R4" s="38"/>
      <c r="S4" s="30"/>
      <c r="T4" s="28"/>
      <c r="U4" s="39"/>
      <c r="V4" s="39"/>
      <c r="W4" s="39"/>
      <c r="X4" s="38"/>
      <c r="Y4" s="32"/>
      <c r="Z4" s="28"/>
      <c r="AA4" s="33"/>
      <c r="AB4" s="38"/>
      <c r="AC4" s="30"/>
      <c r="AD4" s="28"/>
      <c r="AH4" s="187"/>
    </row>
    <row r="5" spans="1:34" s="42" customFormat="1" ht="12.75">
      <c r="A5" s="40"/>
      <c r="B5" s="41" t="s">
        <v>200</v>
      </c>
      <c r="C5" s="42" t="s">
        <v>31</v>
      </c>
      <c r="D5" s="211">
        <v>1700</v>
      </c>
      <c r="E5" s="44" t="s">
        <v>199</v>
      </c>
      <c r="F5" s="41"/>
      <c r="G5" s="201"/>
      <c r="N5" s="187"/>
      <c r="O5" s="34"/>
      <c r="P5" s="28"/>
      <c r="Q5" s="33"/>
      <c r="R5" s="38"/>
      <c r="S5" s="30"/>
      <c r="T5" s="28"/>
      <c r="U5" s="39"/>
      <c r="V5" s="39"/>
      <c r="W5" s="39"/>
      <c r="X5" s="38"/>
      <c r="Y5" s="32"/>
      <c r="Z5" s="28"/>
      <c r="AA5" s="33"/>
      <c r="AB5" s="38"/>
      <c r="AC5" s="30"/>
      <c r="AD5" s="28"/>
      <c r="AH5" s="187"/>
    </row>
    <row r="6" spans="1:34" s="42" customFormat="1" ht="12.75">
      <c r="A6" s="40"/>
      <c r="B6" s="42" t="s">
        <v>201</v>
      </c>
      <c r="C6" s="42" t="s">
        <v>31</v>
      </c>
      <c r="D6" s="45">
        <f>1/(1+D5/((2040000/(15120*D4^0.5))*(0.375*D4)))</f>
        <v>0.28152140683774485</v>
      </c>
      <c r="E6" s="44"/>
      <c r="F6" s="41"/>
      <c r="G6" s="201"/>
      <c r="N6" s="187"/>
      <c r="AH6" s="187"/>
    </row>
    <row r="7" spans="1:34" s="42" customFormat="1" ht="12.75">
      <c r="A7" s="40"/>
      <c r="B7" s="42" t="s">
        <v>202</v>
      </c>
      <c r="C7" s="42" t="s">
        <v>31</v>
      </c>
      <c r="D7" s="45">
        <f>1-D6/3</f>
        <v>0.9061595310540851</v>
      </c>
      <c r="E7" s="44"/>
      <c r="G7" s="38"/>
      <c r="N7" s="187"/>
      <c r="Q7" s="38"/>
      <c r="R7" s="38"/>
      <c r="S7" s="39"/>
      <c r="T7" s="39"/>
      <c r="U7" s="39"/>
      <c r="V7" s="39"/>
      <c r="W7" s="39"/>
      <c r="X7" s="38"/>
      <c r="AH7" s="187"/>
    </row>
    <row r="8" spans="1:34" s="42" customFormat="1" ht="12.75">
      <c r="A8" s="40"/>
      <c r="B8" s="42" t="s">
        <v>203</v>
      </c>
      <c r="C8" s="42" t="s">
        <v>31</v>
      </c>
      <c r="D8" s="46">
        <f>0.5*0.375*D4*D6*D7</f>
        <v>8.290698005491507</v>
      </c>
      <c r="E8" s="44"/>
      <c r="G8" s="38"/>
      <c r="N8" s="187"/>
      <c r="R8" s="28"/>
      <c r="S8" s="167"/>
      <c r="T8" s="167"/>
      <c r="U8" s="167"/>
      <c r="V8" s="167"/>
      <c r="W8" s="167"/>
      <c r="X8" s="38"/>
      <c r="AB8" s="28"/>
      <c r="AC8" s="167"/>
      <c r="AD8" s="167"/>
      <c r="AE8" s="167"/>
      <c r="AF8" s="167"/>
      <c r="AG8" s="167"/>
      <c r="AH8" s="187"/>
    </row>
    <row r="9" spans="18:33" ht="12.75">
      <c r="R9" s="28"/>
      <c r="S9" s="167"/>
      <c r="T9" s="167"/>
      <c r="U9" s="167"/>
      <c r="V9" s="167"/>
      <c r="W9" s="167"/>
      <c r="X9" s="35"/>
      <c r="AB9" s="28"/>
      <c r="AC9" s="167"/>
      <c r="AD9" s="167"/>
      <c r="AE9" s="167"/>
      <c r="AF9" s="167"/>
      <c r="AG9" s="167"/>
    </row>
    <row r="10" spans="1:12" ht="12.75">
      <c r="A10" s="28">
        <v>2</v>
      </c>
      <c r="B10" s="47" t="s">
        <v>204</v>
      </c>
      <c r="H10" s="28">
        <v>4</v>
      </c>
      <c r="I10" s="47" t="s">
        <v>205</v>
      </c>
      <c r="L10" s="31"/>
    </row>
    <row r="11" spans="2:34" s="48" customFormat="1" ht="12.75">
      <c r="B11" s="49" t="s">
        <v>206</v>
      </c>
      <c r="C11" s="48" t="s">
        <v>31</v>
      </c>
      <c r="D11" s="213">
        <v>3</v>
      </c>
      <c r="E11" s="31" t="s">
        <v>207</v>
      </c>
      <c r="G11" s="194"/>
      <c r="H11" s="28">
        <v>4.1</v>
      </c>
      <c r="I11" s="47" t="s">
        <v>327</v>
      </c>
      <c r="J11" s="30"/>
      <c r="K11" s="30">
        <f>(D29*100+D21*2)*2+(D30*100+D21*2)*2</f>
        <v>416</v>
      </c>
      <c r="L11" s="137" t="s">
        <v>217</v>
      </c>
      <c r="N11" s="188"/>
      <c r="AH11" s="188"/>
    </row>
    <row r="12" spans="2:34" s="48" customFormat="1" ht="12.75">
      <c r="B12" s="49" t="s">
        <v>208</v>
      </c>
      <c r="C12" s="48" t="s">
        <v>31</v>
      </c>
      <c r="D12" s="213">
        <v>3</v>
      </c>
      <c r="E12" s="31" t="s">
        <v>207</v>
      </c>
      <c r="G12" s="194"/>
      <c r="H12" s="28"/>
      <c r="I12" s="49" t="s">
        <v>329</v>
      </c>
      <c r="J12" s="30" t="s">
        <v>31</v>
      </c>
      <c r="K12" s="50">
        <f>D35*(D11*D12-(D29+D21/100)*(D30+D21/100))/K11/D21</f>
        <v>2.8906798642533937</v>
      </c>
      <c r="L12" s="31" t="s">
        <v>1</v>
      </c>
      <c r="N12" s="188"/>
      <c r="O12" s="188"/>
      <c r="P12" s="188"/>
      <c r="Q12" s="188"/>
      <c r="R12" s="188"/>
      <c r="S12" s="188"/>
      <c r="T12" s="204"/>
      <c r="U12" s="205"/>
      <c r="V12" s="188"/>
      <c r="W12" s="188"/>
      <c r="X12" s="188"/>
      <c r="Y12" s="185"/>
      <c r="Z12" s="185"/>
      <c r="AA12" s="185"/>
      <c r="AB12" s="196"/>
      <c r="AC12" s="185"/>
      <c r="AD12" s="185"/>
      <c r="AE12" s="185"/>
      <c r="AF12" s="185"/>
      <c r="AG12" s="185"/>
      <c r="AH12" s="188"/>
    </row>
    <row r="13" spans="2:34" s="48" customFormat="1" ht="12.75">
      <c r="B13" s="52" t="s">
        <v>270</v>
      </c>
      <c r="C13" s="48" t="s">
        <v>31</v>
      </c>
      <c r="D13" s="53">
        <f>4*2.54</f>
        <v>10.16</v>
      </c>
      <c r="E13" s="31" t="s">
        <v>3</v>
      </c>
      <c r="G13" s="194"/>
      <c r="H13" s="28"/>
      <c r="I13" s="49" t="s">
        <v>209</v>
      </c>
      <c r="J13" s="30" t="s">
        <v>31</v>
      </c>
      <c r="K13" s="54">
        <f>0.29*D4^0.5</f>
        <v>3.817990701926865</v>
      </c>
      <c r="L13" s="31" t="s">
        <v>1</v>
      </c>
      <c r="N13" s="188"/>
      <c r="Y13" s="30"/>
      <c r="Z13" s="30"/>
      <c r="AA13" s="30"/>
      <c r="AB13" s="31"/>
      <c r="AC13" s="30"/>
      <c r="AD13" s="30"/>
      <c r="AE13" s="30"/>
      <c r="AF13" s="30"/>
      <c r="AG13" s="30"/>
      <c r="AH13" s="188"/>
    </row>
    <row r="14" spans="2:30" ht="12.75">
      <c r="B14" s="52" t="s">
        <v>269</v>
      </c>
      <c r="C14" s="30" t="s">
        <v>31</v>
      </c>
      <c r="D14" s="55">
        <f>D12/36*100</f>
        <v>8.333333333333332</v>
      </c>
      <c r="E14" s="31" t="s">
        <v>3</v>
      </c>
      <c r="F14" s="56"/>
      <c r="G14" s="202"/>
      <c r="H14" s="28"/>
      <c r="K14" s="57" t="str">
        <f>IF(K13&gt;K12,"OK","NG")</f>
        <v>OK</v>
      </c>
      <c r="L14" s="31"/>
      <c r="O14" s="28">
        <v>6</v>
      </c>
      <c r="P14" s="36" t="s">
        <v>210</v>
      </c>
      <c r="T14" s="58"/>
      <c r="U14" s="59"/>
      <c r="W14" s="60"/>
      <c r="Y14" s="28">
        <v>7</v>
      </c>
      <c r="Z14" s="36" t="s">
        <v>211</v>
      </c>
      <c r="AD14" s="58"/>
    </row>
    <row r="15" spans="2:24" ht="12.75">
      <c r="B15" s="158" t="s">
        <v>212</v>
      </c>
      <c r="C15" s="159" t="s">
        <v>31</v>
      </c>
      <c r="D15" s="161">
        <f>0.091*D12*(1-(2*D29/3/(D12)))*(141*D35/D4)^0.5+2.54</f>
        <v>12.894574522861447</v>
      </c>
      <c r="E15" s="160" t="s">
        <v>3</v>
      </c>
      <c r="F15" s="56"/>
      <c r="G15" s="202" t="s">
        <v>281</v>
      </c>
      <c r="H15" s="28">
        <v>4.2</v>
      </c>
      <c r="I15" s="47" t="s">
        <v>213</v>
      </c>
      <c r="L15" s="31"/>
      <c r="P15" s="62" t="s">
        <v>214</v>
      </c>
      <c r="Q15" s="63"/>
      <c r="R15" s="63"/>
      <c r="S15" s="63"/>
      <c r="T15" s="63" t="s">
        <v>31</v>
      </c>
      <c r="U15" s="64">
        <f>K24</f>
        <v>4297.344</v>
      </c>
      <c r="V15" s="65" t="s">
        <v>215</v>
      </c>
      <c r="W15" s="66"/>
      <c r="X15" s="63"/>
    </row>
    <row r="16" spans="2:33" ht="12.75">
      <c r="B16" s="52" t="s">
        <v>216</v>
      </c>
      <c r="C16" s="30" t="s">
        <v>31</v>
      </c>
      <c r="D16" s="61">
        <f>0.106*D12*(1-(2*D29/3/(D12)))*(141*D35/D4)^0.5+3.81</f>
        <v>15.871372521135312</v>
      </c>
      <c r="E16" s="31" t="s">
        <v>3</v>
      </c>
      <c r="F16" s="56"/>
      <c r="G16" s="202"/>
      <c r="H16" s="28"/>
      <c r="I16" s="49" t="s">
        <v>532</v>
      </c>
      <c r="J16" s="30" t="s">
        <v>31</v>
      </c>
      <c r="K16" s="50">
        <f>D35*(D11*D12-((D29+D21/100)*(D30+D21/100)))/(((D29*100+D21)+(D30*100+D21))*2*D21)</f>
        <v>3.455525354969574</v>
      </c>
      <c r="L16" s="31" t="s">
        <v>1</v>
      </c>
      <c r="P16" s="41" t="s">
        <v>273</v>
      </c>
      <c r="Q16" s="63"/>
      <c r="R16" s="63"/>
      <c r="S16" s="63"/>
      <c r="T16" s="42" t="s">
        <v>31</v>
      </c>
      <c r="U16" s="64">
        <f>D21</f>
        <v>17</v>
      </c>
      <c r="V16" s="65" t="s">
        <v>217</v>
      </c>
      <c r="W16" s="63"/>
      <c r="X16" s="63"/>
      <c r="Z16" s="63" t="s">
        <v>218</v>
      </c>
      <c r="AE16" s="64">
        <f>D38</f>
        <v>22320</v>
      </c>
      <c r="AG16" s="65" t="s">
        <v>259</v>
      </c>
    </row>
    <row r="17" spans="2:33" ht="12.75">
      <c r="B17" s="52" t="s">
        <v>268</v>
      </c>
      <c r="C17" s="30" t="s">
        <v>31</v>
      </c>
      <c r="D17" s="212">
        <v>20</v>
      </c>
      <c r="E17" s="31" t="s">
        <v>3</v>
      </c>
      <c r="H17" s="28"/>
      <c r="I17" s="49" t="s">
        <v>219</v>
      </c>
      <c r="J17" s="30" t="s">
        <v>31</v>
      </c>
      <c r="K17" s="50">
        <f>0.53*D4^0.5</f>
        <v>6.977707144900823</v>
      </c>
      <c r="L17" s="31" t="s">
        <v>1</v>
      </c>
      <c r="P17" s="67" t="s">
        <v>274</v>
      </c>
      <c r="Q17" s="63"/>
      <c r="R17" s="63"/>
      <c r="S17" s="63"/>
      <c r="T17" s="42" t="s">
        <v>31</v>
      </c>
      <c r="U17" s="64">
        <f>D21</f>
        <v>17</v>
      </c>
      <c r="V17" s="65" t="s">
        <v>217</v>
      </c>
      <c r="Y17" s="63"/>
      <c r="Z17" s="62" t="s">
        <v>214</v>
      </c>
      <c r="AA17" s="63"/>
      <c r="AB17" s="63"/>
      <c r="AC17" s="63"/>
      <c r="AD17" s="63" t="s">
        <v>31</v>
      </c>
      <c r="AE17" s="64">
        <f>K25</f>
        <v>4297.344</v>
      </c>
      <c r="AF17" s="68"/>
      <c r="AG17" s="65" t="s">
        <v>215</v>
      </c>
    </row>
    <row r="18" spans="2:33" ht="12.75">
      <c r="B18" s="52"/>
      <c r="D18" s="57" t="str">
        <f>IF(D17&gt;MAX(D14:D15),"OK","NG")</f>
        <v>OK</v>
      </c>
      <c r="F18" s="56"/>
      <c r="G18" s="202"/>
      <c r="H18" s="28"/>
      <c r="I18" s="49"/>
      <c r="K18" s="57" t="str">
        <f>IF(K17&gt;K16,"OK","NG")</f>
        <v>OK</v>
      </c>
      <c r="L18" s="31"/>
      <c r="P18" s="63" t="s">
        <v>220</v>
      </c>
      <c r="Q18" s="63" t="s">
        <v>332</v>
      </c>
      <c r="R18" s="63"/>
      <c r="S18" s="63"/>
      <c r="T18" s="63" t="s">
        <v>31</v>
      </c>
      <c r="U18" s="69">
        <f>D11/2</f>
        <v>1.5</v>
      </c>
      <c r="V18" s="65" t="s">
        <v>207</v>
      </c>
      <c r="W18" s="63"/>
      <c r="X18" s="63"/>
      <c r="Y18" s="63"/>
      <c r="Z18" s="63" t="s">
        <v>220</v>
      </c>
      <c r="AA18" s="63" t="s">
        <v>333</v>
      </c>
      <c r="AB18" s="63"/>
      <c r="AC18" s="63"/>
      <c r="AD18" s="63" t="s">
        <v>31</v>
      </c>
      <c r="AE18" s="69">
        <f>D12/2</f>
        <v>1.5</v>
      </c>
      <c r="AF18" s="63"/>
      <c r="AG18" s="65" t="s">
        <v>207</v>
      </c>
    </row>
    <row r="19" spans="2:33" ht="12.75">
      <c r="B19" s="158" t="s">
        <v>221</v>
      </c>
      <c r="C19" s="159" t="s">
        <v>31</v>
      </c>
      <c r="D19" s="159">
        <f>D17*1.5</f>
        <v>30</v>
      </c>
      <c r="E19" s="160" t="s">
        <v>3</v>
      </c>
      <c r="F19" s="56"/>
      <c r="G19" s="202" t="s">
        <v>281</v>
      </c>
      <c r="H19" s="28"/>
      <c r="I19" s="197" t="s">
        <v>334</v>
      </c>
      <c r="J19" s="178" t="s">
        <v>31</v>
      </c>
      <c r="K19" s="198">
        <f>D35*(D11*D12-((D22+D21/100)*(D24+D21/100)))/(((D22*100+D21)+(D24*100+D21))*2*D21)</f>
        <v>3.455525354969574</v>
      </c>
      <c r="L19" s="180" t="s">
        <v>1</v>
      </c>
      <c r="M19" s="56" t="s">
        <v>281</v>
      </c>
      <c r="N19" s="189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70"/>
      <c r="AF19" s="63"/>
      <c r="AG19" s="63"/>
    </row>
    <row r="20" spans="2:33" ht="12.75">
      <c r="B20" s="52" t="s">
        <v>222</v>
      </c>
      <c r="C20" s="30" t="s">
        <v>31</v>
      </c>
      <c r="D20" s="30">
        <v>3</v>
      </c>
      <c r="E20" s="31" t="s">
        <v>3</v>
      </c>
      <c r="H20" s="28"/>
      <c r="I20" s="197" t="s">
        <v>219</v>
      </c>
      <c r="J20" s="178" t="s">
        <v>31</v>
      </c>
      <c r="K20" s="198">
        <f>0.53*D4^0.5</f>
        <v>6.977707144900823</v>
      </c>
      <c r="L20" s="180" t="s">
        <v>1</v>
      </c>
      <c r="M20" s="56" t="s">
        <v>281</v>
      </c>
      <c r="N20" s="189"/>
      <c r="P20" s="71"/>
      <c r="Q20" s="72"/>
      <c r="R20" s="266" t="s">
        <v>223</v>
      </c>
      <c r="S20" s="270"/>
      <c r="T20" s="270"/>
      <c r="U20" s="267"/>
      <c r="V20" s="266" t="s">
        <v>224</v>
      </c>
      <c r="W20" s="267"/>
      <c r="X20" s="63"/>
      <c r="Y20" s="63"/>
      <c r="Z20" s="71"/>
      <c r="AA20" s="72"/>
      <c r="AB20" s="266" t="s">
        <v>223</v>
      </c>
      <c r="AC20" s="270"/>
      <c r="AD20" s="270"/>
      <c r="AE20" s="267"/>
      <c r="AF20" s="266" t="s">
        <v>224</v>
      </c>
      <c r="AG20" s="267"/>
    </row>
    <row r="21" spans="2:33" ht="12.75">
      <c r="B21" s="52" t="s">
        <v>276</v>
      </c>
      <c r="C21" s="30" t="s">
        <v>31</v>
      </c>
      <c r="D21" s="221">
        <f>D17-D20</f>
        <v>17</v>
      </c>
      <c r="E21" s="31" t="s">
        <v>3</v>
      </c>
      <c r="H21" s="28"/>
      <c r="I21" s="197"/>
      <c r="J21" s="178"/>
      <c r="K21" s="199" t="str">
        <f>IF(K20&gt;K19,"OK","NG")</f>
        <v>OK</v>
      </c>
      <c r="L21" s="180"/>
      <c r="M21" s="56" t="s">
        <v>281</v>
      </c>
      <c r="N21" s="189"/>
      <c r="P21" s="73"/>
      <c r="Q21" s="74"/>
      <c r="R21" s="268" t="s">
        <v>225</v>
      </c>
      <c r="S21" s="269"/>
      <c r="T21" s="75" t="s">
        <v>226</v>
      </c>
      <c r="U21" s="76" t="s">
        <v>225</v>
      </c>
      <c r="V21" s="77" t="s">
        <v>226</v>
      </c>
      <c r="W21" s="78" t="s">
        <v>225</v>
      </c>
      <c r="X21" s="63"/>
      <c r="Y21" s="63"/>
      <c r="Z21" s="73"/>
      <c r="AA21" s="74"/>
      <c r="AB21" s="268" t="s">
        <v>225</v>
      </c>
      <c r="AC21" s="269"/>
      <c r="AD21" s="75" t="s">
        <v>226</v>
      </c>
      <c r="AE21" s="76" t="s">
        <v>225</v>
      </c>
      <c r="AF21" s="77" t="s">
        <v>226</v>
      </c>
      <c r="AG21" s="78" t="s">
        <v>225</v>
      </c>
    </row>
    <row r="22" spans="2:33" ht="12.75">
      <c r="B22" s="158" t="s">
        <v>227</v>
      </c>
      <c r="C22" s="159" t="s">
        <v>31</v>
      </c>
      <c r="D22" s="162">
        <f>D29</f>
        <v>0.7</v>
      </c>
      <c r="E22" s="160" t="s">
        <v>207</v>
      </c>
      <c r="F22" s="163">
        <f>D29</f>
        <v>0.7</v>
      </c>
      <c r="G22" s="202" t="s">
        <v>281</v>
      </c>
      <c r="H22" s="28">
        <v>4.3</v>
      </c>
      <c r="I22" s="36" t="s">
        <v>228</v>
      </c>
      <c r="K22" s="58"/>
      <c r="L22" s="31"/>
      <c r="P22" s="79" t="s">
        <v>229</v>
      </c>
      <c r="Q22" s="80" t="s">
        <v>230</v>
      </c>
      <c r="R22" s="81"/>
      <c r="S22" s="215">
        <v>0.32</v>
      </c>
      <c r="T22" s="216">
        <v>0.28</v>
      </c>
      <c r="U22" s="217">
        <v>0.5</v>
      </c>
      <c r="V22" s="218">
        <v>0.22</v>
      </c>
      <c r="W22" s="219">
        <v>0.46</v>
      </c>
      <c r="X22" s="63"/>
      <c r="Y22" s="63"/>
      <c r="Z22" s="79" t="s">
        <v>231</v>
      </c>
      <c r="AA22" s="80" t="s">
        <v>230</v>
      </c>
      <c r="AB22" s="81"/>
      <c r="AC22" s="215">
        <f>S22</f>
        <v>0.32</v>
      </c>
      <c r="AD22" s="216">
        <f>T22</f>
        <v>0.28</v>
      </c>
      <c r="AE22" s="217">
        <f>U22</f>
        <v>0.5</v>
      </c>
      <c r="AF22" s="218">
        <f>V22</f>
        <v>0.22</v>
      </c>
      <c r="AG22" s="219">
        <f>W22</f>
        <v>0.46</v>
      </c>
    </row>
    <row r="23" spans="2:33" ht="12.75">
      <c r="B23" s="158"/>
      <c r="C23" s="159"/>
      <c r="D23" s="164" t="str">
        <f>IF(AND(D22&gt;=0.3*D11,D22&lt;=0.4*D11),"OK","NG")</f>
        <v>NG</v>
      </c>
      <c r="E23" s="160"/>
      <c r="F23" s="165"/>
      <c r="G23" s="202" t="s">
        <v>281</v>
      </c>
      <c r="H23" s="28"/>
      <c r="I23" s="49" t="s">
        <v>232</v>
      </c>
      <c r="J23" s="30" t="s">
        <v>31</v>
      </c>
      <c r="K23" s="214">
        <v>1</v>
      </c>
      <c r="L23" s="31" t="s">
        <v>271</v>
      </c>
      <c r="M23" s="82">
        <f>1.15-D29/D12</f>
        <v>0.9166666666666666</v>
      </c>
      <c r="N23" s="193"/>
      <c r="P23" s="83"/>
      <c r="Q23" s="84" t="s">
        <v>233</v>
      </c>
      <c r="R23" s="85"/>
      <c r="S23" s="86">
        <f>S22*U15</f>
        <v>1375.1500800000001</v>
      </c>
      <c r="T23" s="87">
        <f>T22*U15</f>
        <v>1203.2563200000002</v>
      </c>
      <c r="U23" s="88">
        <f>U22*U15</f>
        <v>2148.672</v>
      </c>
      <c r="V23" s="89">
        <f>V22*U15</f>
        <v>945.4156800000001</v>
      </c>
      <c r="W23" s="90">
        <f>W22*U15</f>
        <v>1976.77824</v>
      </c>
      <c r="X23" s="63"/>
      <c r="Y23" s="63"/>
      <c r="Z23" s="83"/>
      <c r="AA23" s="84" t="s">
        <v>233</v>
      </c>
      <c r="AB23" s="85"/>
      <c r="AC23" s="86">
        <f>AC22*AE17</f>
        <v>1375.1500800000001</v>
      </c>
      <c r="AD23" s="87">
        <f>AD22*AE17</f>
        <v>1203.2563200000002</v>
      </c>
      <c r="AE23" s="88">
        <f>AE22*AE17</f>
        <v>2148.672</v>
      </c>
      <c r="AF23" s="89">
        <f>AF22*AE17</f>
        <v>945.4156800000001</v>
      </c>
      <c r="AG23" s="90">
        <f>AG22*AE17</f>
        <v>1976.77824</v>
      </c>
    </row>
    <row r="24" spans="2:33" ht="12.75">
      <c r="B24" s="158" t="s">
        <v>234</v>
      </c>
      <c r="C24" s="159" t="s">
        <v>31</v>
      </c>
      <c r="D24" s="162">
        <f>D30</f>
        <v>0.7</v>
      </c>
      <c r="E24" s="160" t="s">
        <v>207</v>
      </c>
      <c r="F24" s="163">
        <f>D30</f>
        <v>0.7</v>
      </c>
      <c r="G24" s="202" t="s">
        <v>281</v>
      </c>
      <c r="H24" s="28"/>
      <c r="I24" s="52" t="s">
        <v>235</v>
      </c>
      <c r="J24" s="30" t="s">
        <v>31</v>
      </c>
      <c r="K24" s="58">
        <f>0.09*K23*D38*D12*(1-2*D29/(3*D12))^2</f>
        <v>4297.344</v>
      </c>
      <c r="L24" s="31" t="s">
        <v>215</v>
      </c>
      <c r="P24" s="83"/>
      <c r="Q24" s="84" t="s">
        <v>236</v>
      </c>
      <c r="R24" s="85"/>
      <c r="S24" s="91">
        <f>S23*100/D5/D7/D28</f>
        <v>5.251067402614454</v>
      </c>
      <c r="T24" s="92">
        <f>T23*100/D5/D7/D21</f>
        <v>4.594683977287647</v>
      </c>
      <c r="U24" s="91">
        <f>U23*100/D5/D7/D28</f>
        <v>8.204792816585083</v>
      </c>
      <c r="V24" s="94">
        <f>V23*100/D5/D7/D21</f>
        <v>3.6101088392974363</v>
      </c>
      <c r="W24" s="95">
        <f>W23*100/D5/D7/D28</f>
        <v>7.548409391258277</v>
      </c>
      <c r="X24" s="63"/>
      <c r="Y24" s="63"/>
      <c r="Z24" s="83"/>
      <c r="AA24" s="84" t="s">
        <v>236</v>
      </c>
      <c r="AB24" s="85"/>
      <c r="AC24" s="91">
        <f>AC23*100/D5/D7/D28</f>
        <v>5.251067402614454</v>
      </c>
      <c r="AD24" s="92">
        <f>AD23*100/D5/D7/D21</f>
        <v>4.594683977287647</v>
      </c>
      <c r="AE24" s="93">
        <f>AE23*100/D5/D7/D28</f>
        <v>8.204792816585083</v>
      </c>
      <c r="AF24" s="94">
        <f>AF23*100/D5/D7/D21</f>
        <v>3.6101088392974363</v>
      </c>
      <c r="AG24" s="95">
        <f>AG23*100/D5/D7/D28</f>
        <v>7.548409391258277</v>
      </c>
    </row>
    <row r="25" spans="2:33" ht="12.75">
      <c r="B25" s="158"/>
      <c r="C25" s="159"/>
      <c r="D25" s="164" t="str">
        <f>IF(AND(D24&gt;=0.3*D12,D24&lt;=0.4*D12),"OK","NG")</f>
        <v>NG</v>
      </c>
      <c r="E25" s="160"/>
      <c r="F25" s="165"/>
      <c r="G25" s="202" t="s">
        <v>281</v>
      </c>
      <c r="H25" s="28"/>
      <c r="I25" s="52" t="s">
        <v>237</v>
      </c>
      <c r="J25" s="30" t="s">
        <v>31</v>
      </c>
      <c r="K25" s="58">
        <f>0.09*K23*D38*D11*(1-2*D29/(3*D11))^2</f>
        <v>4297.344</v>
      </c>
      <c r="L25" s="31" t="s">
        <v>215</v>
      </c>
      <c r="P25" s="96"/>
      <c r="Q25" s="97" t="s">
        <v>238</v>
      </c>
      <c r="R25" s="98" t="s">
        <v>239</v>
      </c>
      <c r="S25" s="99">
        <f>1/(S24/1.13/U18)</f>
        <v>0.322791514570176</v>
      </c>
      <c r="T25" s="182">
        <f>1/(T24/1.13/U18)</f>
        <v>0.3689045880802011</v>
      </c>
      <c r="U25" s="181">
        <f>1/(U24/1.13/U18)</f>
        <v>0.20658656932491268</v>
      </c>
      <c r="V25" s="100">
        <f>1/(V24/1.13/U18)</f>
        <v>0.4695149302838925</v>
      </c>
      <c r="W25" s="101">
        <f>1/(W24/1.13/U18)</f>
        <v>0.2245506188314268</v>
      </c>
      <c r="X25" s="102"/>
      <c r="Y25" s="63"/>
      <c r="Z25" s="83"/>
      <c r="AA25" s="84" t="s">
        <v>238</v>
      </c>
      <c r="AB25" s="85" t="s">
        <v>240</v>
      </c>
      <c r="AC25" s="91">
        <f>1/(AC24/0.636/$AE$18)</f>
        <v>0.18167734802356814</v>
      </c>
      <c r="AD25" s="182">
        <f>1/(AD24/0.636/$AE$18)</f>
        <v>0.20763125488407783</v>
      </c>
      <c r="AE25" s="181">
        <f>1/(AE24/0.636/$AE$18)</f>
        <v>0.11627350273508362</v>
      </c>
      <c r="AF25" s="94">
        <f>1/(AF24/0.636/$AE$18)</f>
        <v>0.26425796076155367</v>
      </c>
      <c r="AG25" s="95">
        <f>1/(AG24/0.636/$AE$18)</f>
        <v>0.12638424210335175</v>
      </c>
    </row>
    <row r="26" spans="2:33" ht="12.75">
      <c r="B26" s="158" t="s">
        <v>241</v>
      </c>
      <c r="C26" s="159" t="s">
        <v>31</v>
      </c>
      <c r="D26" s="166">
        <v>20</v>
      </c>
      <c r="E26" s="160" t="s">
        <v>3</v>
      </c>
      <c r="F26" s="159"/>
      <c r="G26" s="202" t="s">
        <v>281</v>
      </c>
      <c r="H26" s="28"/>
      <c r="I26" s="52"/>
      <c r="K26" s="58"/>
      <c r="L26" s="31"/>
      <c r="P26" s="83"/>
      <c r="Q26" s="84" t="s">
        <v>242</v>
      </c>
      <c r="R26" s="85" t="s">
        <v>337</v>
      </c>
      <c r="S26" s="91">
        <f>U18/(S24/2.01)</f>
        <v>0.5741689772442954</v>
      </c>
      <c r="T26" s="207">
        <f>U18/(T24/2.01)</f>
        <v>0.6561931168506233</v>
      </c>
      <c r="U26" s="208">
        <f>U18/(U24/2.01)</f>
        <v>0.3674681454363491</v>
      </c>
      <c r="V26" s="91">
        <f>U18/(V24/2.01)</f>
        <v>0.8351548759917026</v>
      </c>
      <c r="W26" s="206">
        <f>U18/(W24/2.01)</f>
        <v>0.3994218972134229</v>
      </c>
      <c r="X26" s="63"/>
      <c r="Y26" s="63"/>
      <c r="Z26" s="83"/>
      <c r="AA26" s="84" t="s">
        <v>242</v>
      </c>
      <c r="AB26" s="85" t="s">
        <v>337</v>
      </c>
      <c r="AC26" s="91">
        <f>AE18/(AC24/2.01)</f>
        <v>0.5741689772442954</v>
      </c>
      <c r="AD26" s="207">
        <f>AE18/(AD24/2.01)</f>
        <v>0.6561931168506233</v>
      </c>
      <c r="AE26" s="208">
        <f>AE18/(AE24/2.01)</f>
        <v>0.3674681454363491</v>
      </c>
      <c r="AF26" s="91">
        <f>AE18/(AF24/2.01)</f>
        <v>0.8351548759917026</v>
      </c>
      <c r="AG26" s="206">
        <f>AE18/(AG24/2.01)</f>
        <v>0.3994218972134229</v>
      </c>
    </row>
    <row r="27" spans="2:33" ht="12.75">
      <c r="B27" s="158"/>
      <c r="C27" s="159"/>
      <c r="D27" s="164" t="str">
        <f>IF(D26&gt;D16,"OK","NG")</f>
        <v>OK</v>
      </c>
      <c r="E27" s="160"/>
      <c r="F27" s="165"/>
      <c r="G27" s="202" t="s">
        <v>281</v>
      </c>
      <c r="H27" s="28"/>
      <c r="I27" s="103" t="s">
        <v>243</v>
      </c>
      <c r="L27" s="31"/>
      <c r="P27" s="104"/>
      <c r="Q27" s="105" t="s">
        <v>244</v>
      </c>
      <c r="R27" s="106"/>
      <c r="S27" s="107"/>
      <c r="T27" s="108"/>
      <c r="U27" s="109"/>
      <c r="V27" s="110"/>
      <c r="W27" s="111"/>
      <c r="X27" s="63"/>
      <c r="Y27" s="63"/>
      <c r="Z27" s="104"/>
      <c r="AA27" s="105" t="s">
        <v>244</v>
      </c>
      <c r="AB27" s="106"/>
      <c r="AC27" s="112"/>
      <c r="AD27" s="113"/>
      <c r="AE27" s="114"/>
      <c r="AF27" s="115"/>
      <c r="AG27" s="116"/>
    </row>
    <row r="28" spans="2:33" ht="15.75">
      <c r="B28" s="158" t="s">
        <v>331</v>
      </c>
      <c r="C28" s="159" t="s">
        <v>31</v>
      </c>
      <c r="D28" s="159">
        <f>D26-D20</f>
        <v>17</v>
      </c>
      <c r="E28" s="160" t="s">
        <v>3</v>
      </c>
      <c r="F28" s="159"/>
      <c r="G28" s="202" t="s">
        <v>281</v>
      </c>
      <c r="H28" s="28"/>
      <c r="I28" s="52" t="s">
        <v>245</v>
      </c>
      <c r="J28" s="30" t="s">
        <v>31</v>
      </c>
      <c r="K28" s="58">
        <f>0.083*D17^3*K33/(0.5+D36/D37)</f>
        <v>0</v>
      </c>
      <c r="L28" s="31" t="s">
        <v>157</v>
      </c>
      <c r="M28" s="30" t="s">
        <v>272</v>
      </c>
      <c r="P28" s="117"/>
      <c r="Q28" s="118"/>
      <c r="R28" s="119"/>
      <c r="S28" s="120"/>
      <c r="T28" s="121"/>
      <c r="U28" s="122"/>
      <c r="V28" s="123"/>
      <c r="W28" s="124"/>
      <c r="X28" s="63"/>
      <c r="Y28" s="63"/>
      <c r="Z28" s="117"/>
      <c r="AA28" s="118"/>
      <c r="AB28" s="119"/>
      <c r="AC28" s="125"/>
      <c r="AD28" s="126"/>
      <c r="AE28" s="127"/>
      <c r="AF28" s="128"/>
      <c r="AG28" s="129"/>
    </row>
    <row r="29" spans="2:33" ht="12.75">
      <c r="B29" s="49" t="s">
        <v>246</v>
      </c>
      <c r="C29" s="30" t="s">
        <v>31</v>
      </c>
      <c r="D29" s="212">
        <v>0.7</v>
      </c>
      <c r="E29" s="31" t="s">
        <v>207</v>
      </c>
      <c r="H29" s="28"/>
      <c r="I29" s="30" t="s">
        <v>338</v>
      </c>
      <c r="J29" s="30" t="s">
        <v>31</v>
      </c>
      <c r="K29" s="176">
        <f>1/12*D30*100*(D29*100)^3</f>
        <v>2000833.3333333333</v>
      </c>
      <c r="L29" s="31" t="s">
        <v>157</v>
      </c>
      <c r="P29" s="71" t="s">
        <v>247</v>
      </c>
      <c r="Q29" s="72" t="s">
        <v>230</v>
      </c>
      <c r="R29" s="130"/>
      <c r="S29" s="131">
        <v>0.2</v>
      </c>
      <c r="T29" s="132">
        <v>0.2</v>
      </c>
      <c r="U29" s="133">
        <v>0.18</v>
      </c>
      <c r="V29" s="134">
        <v>0.16</v>
      </c>
      <c r="W29" s="135">
        <f>V29*1.3</f>
        <v>0.20800000000000002</v>
      </c>
      <c r="X29" s="63"/>
      <c r="Y29" s="63"/>
      <c r="Z29" s="71" t="s">
        <v>247</v>
      </c>
      <c r="AA29" s="72" t="s">
        <v>230</v>
      </c>
      <c r="AB29" s="130"/>
      <c r="AC29" s="131">
        <v>0.2</v>
      </c>
      <c r="AD29" s="132">
        <v>0.2</v>
      </c>
      <c r="AE29" s="133">
        <v>0.18</v>
      </c>
      <c r="AF29" s="134">
        <v>0.16</v>
      </c>
      <c r="AG29" s="135">
        <f>AF29*1.3</f>
        <v>0.20800000000000002</v>
      </c>
    </row>
    <row r="30" spans="2:33" ht="12.75">
      <c r="B30" s="49" t="s">
        <v>248</v>
      </c>
      <c r="C30" s="30" t="s">
        <v>31</v>
      </c>
      <c r="D30" s="212">
        <v>0.7</v>
      </c>
      <c r="E30" s="31" t="s">
        <v>207</v>
      </c>
      <c r="H30" s="28"/>
      <c r="K30" s="57" t="str">
        <f>IF(K29&gt;K28,"OK","NG")</f>
        <v>OK</v>
      </c>
      <c r="L30" s="31"/>
      <c r="P30" s="83"/>
      <c r="Q30" s="84" t="s">
        <v>233</v>
      </c>
      <c r="R30" s="85"/>
      <c r="S30" s="86">
        <f>S29*U15</f>
        <v>859.4688000000001</v>
      </c>
      <c r="T30" s="87">
        <f>T29*U15</f>
        <v>859.4688000000001</v>
      </c>
      <c r="U30" s="88">
        <f>U29*U15</f>
        <v>773.52192</v>
      </c>
      <c r="V30" s="89">
        <f>V29*U15</f>
        <v>687.5750400000001</v>
      </c>
      <c r="W30" s="90">
        <f>W29*U15</f>
        <v>893.8475520000001</v>
      </c>
      <c r="X30" s="63"/>
      <c r="Y30" s="63"/>
      <c r="Z30" s="83"/>
      <c r="AA30" s="84" t="s">
        <v>233</v>
      </c>
      <c r="AB30" s="85"/>
      <c r="AC30" s="86">
        <f>AC29*AE17</f>
        <v>859.4688000000001</v>
      </c>
      <c r="AD30" s="87">
        <f>AD29*AE17</f>
        <v>859.4688000000001</v>
      </c>
      <c r="AE30" s="88">
        <f>AE29*AE17</f>
        <v>773.52192</v>
      </c>
      <c r="AF30" s="89">
        <f>AF29*AE17</f>
        <v>687.5750400000001</v>
      </c>
      <c r="AG30" s="90">
        <f>AG29*AE17</f>
        <v>893.8475520000001</v>
      </c>
    </row>
    <row r="31" spans="2:33" ht="12.75">
      <c r="B31" s="52"/>
      <c r="D31" s="31"/>
      <c r="H31" s="28"/>
      <c r="I31" s="136" t="s">
        <v>249</v>
      </c>
      <c r="L31" s="31"/>
      <c r="P31" s="83"/>
      <c r="Q31" s="84" t="s">
        <v>236</v>
      </c>
      <c r="R31" s="85"/>
      <c r="S31" s="91">
        <f>S30*100/D5/D7/D21</f>
        <v>3.281917126634033</v>
      </c>
      <c r="T31" s="92">
        <f>T30*100/D5/D7/D21</f>
        <v>3.281917126634033</v>
      </c>
      <c r="U31" s="93">
        <f>U30*100/D5/D7/D21</f>
        <v>2.9537254139706293</v>
      </c>
      <c r="V31" s="94">
        <f>V30*100/D5/D7/D21</f>
        <v>2.625533701307227</v>
      </c>
      <c r="W31" s="95">
        <f>W30*100/D5/D7/D21</f>
        <v>3.4131938116993945</v>
      </c>
      <c r="X31" s="63"/>
      <c r="Y31" s="63"/>
      <c r="Z31" s="83"/>
      <c r="AA31" s="84" t="s">
        <v>236</v>
      </c>
      <c r="AB31" s="85"/>
      <c r="AC31" s="91">
        <f>AC30*100/D5/D7/D21</f>
        <v>3.281917126634033</v>
      </c>
      <c r="AD31" s="92">
        <f>AD30*100/D5/D7/D21</f>
        <v>3.281917126634033</v>
      </c>
      <c r="AE31" s="93">
        <f>AE30*100/D5/D7/D21</f>
        <v>2.9537254139706293</v>
      </c>
      <c r="AF31" s="94">
        <f>AF30*100/D5/D7/D21</f>
        <v>2.625533701307227</v>
      </c>
      <c r="AG31" s="95">
        <f>AG30*100/D5/D7/D21</f>
        <v>3.4131938116993945</v>
      </c>
    </row>
    <row r="32" spans="1:33" ht="15.75">
      <c r="A32" s="28">
        <v>3</v>
      </c>
      <c r="B32" s="47" t="s">
        <v>250</v>
      </c>
      <c r="H32" s="28"/>
      <c r="I32" s="52" t="s">
        <v>251</v>
      </c>
      <c r="J32" s="30" t="s">
        <v>31</v>
      </c>
      <c r="K32" s="58">
        <f>(2-2.3*K34/K35)*(0.083*D17^3*K35/(0.5+D36/D37))</f>
        <v>96908.10810810812</v>
      </c>
      <c r="L32" s="31" t="s">
        <v>157</v>
      </c>
      <c r="M32" s="30" t="s">
        <v>272</v>
      </c>
      <c r="P32" s="96"/>
      <c r="Q32" s="97" t="s">
        <v>238</v>
      </c>
      <c r="R32" s="98" t="s">
        <v>239</v>
      </c>
      <c r="S32" s="99">
        <f>1/(S31/1.13/U18)</f>
        <v>0.5164664233122818</v>
      </c>
      <c r="T32" s="183">
        <f>1/(T31/1.13/U18)</f>
        <v>0.5164664233122818</v>
      </c>
      <c r="U32" s="184">
        <f>1/(U31/1.13/U18)</f>
        <v>0.5738515814580909</v>
      </c>
      <c r="V32" s="100">
        <f>1/(V31/1.13/U18)</f>
        <v>0.645583029140352</v>
      </c>
      <c r="W32" s="101">
        <f>1/(W31/1.13/U18)</f>
        <v>0.4966023301079632</v>
      </c>
      <c r="X32" s="102"/>
      <c r="Y32" s="63"/>
      <c r="Z32" s="83"/>
      <c r="AA32" s="84" t="s">
        <v>238</v>
      </c>
      <c r="AB32" s="85" t="s">
        <v>240</v>
      </c>
      <c r="AC32" s="91">
        <f>1/(AC31/0.636/$AE$18)</f>
        <v>0.2906837568377091</v>
      </c>
      <c r="AD32" s="183">
        <f>1/(AD31/0.636/$AE$18)</f>
        <v>0.2906837568377091</v>
      </c>
      <c r="AE32" s="184">
        <f>1/(AE31/0.636/$AE$18)</f>
        <v>0.322981952041899</v>
      </c>
      <c r="AF32" s="94">
        <f>1/(AF31/0.636/$AE$18)</f>
        <v>0.36335469604713627</v>
      </c>
      <c r="AG32" s="95">
        <f>1/(AG31/0.636/$AE$18)</f>
        <v>0.279503612343951</v>
      </c>
    </row>
    <row r="33" spans="1:33" ht="12.75">
      <c r="A33" s="30"/>
      <c r="B33" s="49" t="s">
        <v>252</v>
      </c>
      <c r="C33" s="30" t="s">
        <v>31</v>
      </c>
      <c r="D33" s="58">
        <f>2400*D17/100+2400*D22*D24*(D26-D17)/100/D11/D12</f>
        <v>480</v>
      </c>
      <c r="E33" s="31" t="s">
        <v>253</v>
      </c>
      <c r="H33" s="28"/>
      <c r="I33" s="52" t="s">
        <v>254</v>
      </c>
      <c r="J33" s="30" t="s">
        <v>31</v>
      </c>
      <c r="K33" s="211">
        <v>0</v>
      </c>
      <c r="L33" s="137" t="s">
        <v>217</v>
      </c>
      <c r="P33" s="138"/>
      <c r="Q33" s="139" t="s">
        <v>242</v>
      </c>
      <c r="R33" s="140" t="s">
        <v>337</v>
      </c>
      <c r="S33" s="141">
        <f>U18/(S31/2.01)</f>
        <v>0.9186703635908727</v>
      </c>
      <c r="T33" s="209">
        <f>U18/(T31/2.01)</f>
        <v>0.9186703635908727</v>
      </c>
      <c r="U33" s="210">
        <f>U18/(U31/2.01)</f>
        <v>1.0207448484343034</v>
      </c>
      <c r="V33" s="141">
        <f>U18/(V31/2.01)</f>
        <v>1.1483379544885908</v>
      </c>
      <c r="W33" s="206">
        <f>U18/(W31/2.01)</f>
        <v>0.8833368880681469</v>
      </c>
      <c r="X33" s="63"/>
      <c r="Y33" s="63"/>
      <c r="Z33" s="83"/>
      <c r="AA33" s="139" t="s">
        <v>242</v>
      </c>
      <c r="AB33" s="140" t="s">
        <v>337</v>
      </c>
      <c r="AC33" s="141">
        <f>AE18/(AC31/2.01)</f>
        <v>0.9186703635908727</v>
      </c>
      <c r="AD33" s="209">
        <f>AE18/(AD31/2.01)</f>
        <v>0.9186703635908727</v>
      </c>
      <c r="AE33" s="210">
        <f>AE18/(AE31/2.01)</f>
        <v>1.0207448484343034</v>
      </c>
      <c r="AF33" s="141">
        <f>AE18/(AF31/2.01)</f>
        <v>1.1483379544885908</v>
      </c>
      <c r="AG33" s="206">
        <f>AE18/(AG31/2.01)</f>
        <v>0.8833368880681469</v>
      </c>
    </row>
    <row r="34" spans="1:33" ht="12.75">
      <c r="A34" s="30"/>
      <c r="B34" s="49" t="s">
        <v>255</v>
      </c>
      <c r="C34" s="30" t="s">
        <v>31</v>
      </c>
      <c r="D34" s="37">
        <f>D3</f>
        <v>2000</v>
      </c>
      <c r="E34" s="31" t="s">
        <v>253</v>
      </c>
      <c r="H34" s="28"/>
      <c r="I34" s="52" t="s">
        <v>256</v>
      </c>
      <c r="J34" s="30" t="s">
        <v>31</v>
      </c>
      <c r="K34" s="211">
        <v>40</v>
      </c>
      <c r="L34" s="137" t="s">
        <v>217</v>
      </c>
      <c r="P34" s="104"/>
      <c r="Q34" s="105" t="s">
        <v>244</v>
      </c>
      <c r="R34" s="106"/>
      <c r="S34" s="112"/>
      <c r="T34" s="113"/>
      <c r="U34" s="114"/>
      <c r="V34" s="115"/>
      <c r="W34" s="116"/>
      <c r="X34" s="63"/>
      <c r="Y34" s="63"/>
      <c r="Z34" s="142"/>
      <c r="AA34" s="143"/>
      <c r="AB34" s="144"/>
      <c r="AC34" s="145"/>
      <c r="AD34" s="146"/>
      <c r="AE34" s="147"/>
      <c r="AF34" s="148"/>
      <c r="AG34" s="149"/>
    </row>
    <row r="35" spans="2:33" ht="12.75">
      <c r="B35" s="52" t="s">
        <v>257</v>
      </c>
      <c r="C35" s="30" t="s">
        <v>31</v>
      </c>
      <c r="D35" s="150">
        <f>SUM(D33:D34)</f>
        <v>2480</v>
      </c>
      <c r="E35" s="31" t="s">
        <v>253</v>
      </c>
      <c r="H35" s="28"/>
      <c r="I35" s="52" t="s">
        <v>531</v>
      </c>
      <c r="J35" s="30" t="s">
        <v>31</v>
      </c>
      <c r="K35" s="211">
        <v>100</v>
      </c>
      <c r="L35" s="137" t="s">
        <v>217</v>
      </c>
      <c r="P35" s="105"/>
      <c r="Q35" s="105"/>
      <c r="R35" s="151"/>
      <c r="S35" s="152"/>
      <c r="T35" s="152"/>
      <c r="U35" s="152"/>
      <c r="V35" s="152"/>
      <c r="W35" s="152"/>
      <c r="X35" s="63"/>
      <c r="Y35" s="63"/>
      <c r="Z35" s="104"/>
      <c r="AA35" s="105" t="s">
        <v>244</v>
      </c>
      <c r="AB35" s="106"/>
      <c r="AC35" s="112"/>
      <c r="AD35" s="113"/>
      <c r="AE35" s="114"/>
      <c r="AF35" s="115"/>
      <c r="AG35" s="116"/>
    </row>
    <row r="36" spans="2:33" ht="15.75">
      <c r="B36" s="52" t="s">
        <v>258</v>
      </c>
      <c r="C36" s="30" t="s">
        <v>31</v>
      </c>
      <c r="D36" s="58">
        <f>D33*D11*D12</f>
        <v>4320</v>
      </c>
      <c r="E36" s="31" t="s">
        <v>259</v>
      </c>
      <c r="H36" s="28">
        <v>5</v>
      </c>
      <c r="I36" s="47" t="s">
        <v>260</v>
      </c>
      <c r="L36" s="31"/>
      <c r="P36" s="144"/>
      <c r="Q36" s="144"/>
      <c r="R36" s="144"/>
      <c r="S36" s="144"/>
      <c r="T36" s="144"/>
      <c r="U36" s="144"/>
      <c r="V36" s="144"/>
      <c r="W36" s="144"/>
      <c r="X36" s="63"/>
      <c r="Y36" s="63"/>
      <c r="Z36" s="63"/>
      <c r="AA36" s="63"/>
      <c r="AB36" s="63"/>
      <c r="AC36" s="63"/>
      <c r="AD36" s="63"/>
      <c r="AE36" s="63"/>
      <c r="AF36" s="63"/>
      <c r="AG36" s="63"/>
    </row>
    <row r="37" spans="2:33" ht="15.75">
      <c r="B37" s="52" t="s">
        <v>261</v>
      </c>
      <c r="C37" s="30" t="s">
        <v>31</v>
      </c>
      <c r="D37" s="153">
        <f>D34*D11*D12</f>
        <v>18000</v>
      </c>
      <c r="E37" s="31" t="s">
        <v>259</v>
      </c>
      <c r="H37" s="28"/>
      <c r="I37" s="52" t="s">
        <v>262</v>
      </c>
      <c r="J37" s="30" t="s">
        <v>31</v>
      </c>
      <c r="K37" s="58">
        <f>(D38*D12-D36*D12)/40</f>
        <v>1350</v>
      </c>
      <c r="L37" s="31" t="s">
        <v>215</v>
      </c>
      <c r="P37" s="154" t="s">
        <v>263</v>
      </c>
      <c r="Q37" s="155">
        <f>0.002*100*D17</f>
        <v>4</v>
      </c>
      <c r="R37" s="144"/>
      <c r="S37" s="144" t="s">
        <v>264</v>
      </c>
      <c r="T37" s="144"/>
      <c r="U37" s="144"/>
      <c r="V37" s="144"/>
      <c r="W37" s="144"/>
      <c r="X37" s="63"/>
      <c r="Z37" s="154" t="s">
        <v>263</v>
      </c>
      <c r="AA37" s="155">
        <f>0.0025*100*D17</f>
        <v>5</v>
      </c>
      <c r="AB37" s="144"/>
      <c r="AC37" s="144" t="s">
        <v>264</v>
      </c>
      <c r="AD37" s="63"/>
      <c r="AE37" s="63"/>
      <c r="AF37" s="63"/>
      <c r="AG37" s="63"/>
    </row>
    <row r="38" spans="2:33" ht="15.75">
      <c r="B38" s="156" t="s">
        <v>265</v>
      </c>
      <c r="C38" s="30" t="s">
        <v>31</v>
      </c>
      <c r="D38" s="157">
        <f>D37+D36</f>
        <v>22320</v>
      </c>
      <c r="E38" s="31" t="s">
        <v>259</v>
      </c>
      <c r="F38" s="52"/>
      <c r="G38" s="203"/>
      <c r="H38" s="28"/>
      <c r="I38" s="52" t="s">
        <v>266</v>
      </c>
      <c r="J38" s="30" t="s">
        <v>31</v>
      </c>
      <c r="K38" s="58">
        <f>D38/2*D12/30</f>
        <v>1116</v>
      </c>
      <c r="L38" s="31" t="s">
        <v>215</v>
      </c>
      <c r="P38" s="63" t="s">
        <v>267</v>
      </c>
      <c r="Q38" s="102" t="s">
        <v>533</v>
      </c>
      <c r="R38" s="102">
        <f>1/(Q37/1.13)</f>
        <v>0.2825</v>
      </c>
      <c r="S38" s="63" t="s">
        <v>6</v>
      </c>
      <c r="T38" s="63"/>
      <c r="U38" s="63"/>
      <c r="V38" s="63"/>
      <c r="W38" s="63"/>
      <c r="X38" s="63"/>
      <c r="Z38" s="63" t="s">
        <v>267</v>
      </c>
      <c r="AA38" s="102" t="s">
        <v>534</v>
      </c>
      <c r="AB38" s="102">
        <f>1/(AA37/0.64)</f>
        <v>0.128</v>
      </c>
      <c r="AC38" s="63" t="s">
        <v>6</v>
      </c>
      <c r="AD38" s="63"/>
      <c r="AE38" s="63"/>
      <c r="AF38" s="63"/>
      <c r="AG38" s="63"/>
    </row>
    <row r="39" spans="2:7" ht="12.75">
      <c r="B39" s="173" t="s">
        <v>277</v>
      </c>
      <c r="C39" s="30" t="s">
        <v>31</v>
      </c>
      <c r="D39" s="157">
        <f>D38*0.4</f>
        <v>8928</v>
      </c>
      <c r="E39" s="31" t="s">
        <v>259</v>
      </c>
      <c r="F39" s="52"/>
      <c r="G39" s="203"/>
    </row>
    <row r="40" spans="2:33" ht="12.75">
      <c r="B40" s="49" t="s">
        <v>278</v>
      </c>
      <c r="C40" s="48" t="s">
        <v>31</v>
      </c>
      <c r="D40" s="30">
        <f>D39/D11</f>
        <v>2976</v>
      </c>
      <c r="E40" s="31" t="s">
        <v>303</v>
      </c>
      <c r="H40" s="28">
        <v>8</v>
      </c>
      <c r="I40" s="47" t="s">
        <v>280</v>
      </c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90"/>
      <c r="AC40" s="200"/>
      <c r="AD40" s="185"/>
      <c r="AE40" s="185"/>
      <c r="AF40" s="185"/>
      <c r="AG40" s="185"/>
    </row>
    <row r="41" spans="2:29" ht="12.75">
      <c r="B41" s="49" t="s">
        <v>279</v>
      </c>
      <c r="C41" s="48" t="s">
        <v>31</v>
      </c>
      <c r="D41" s="30">
        <f>D39/D12</f>
        <v>2976</v>
      </c>
      <c r="E41" s="31" t="s">
        <v>303</v>
      </c>
      <c r="I41" s="30" t="s">
        <v>324</v>
      </c>
      <c r="J41" s="30" t="s">
        <v>31</v>
      </c>
      <c r="K41" s="58">
        <f>U23</f>
        <v>2148.672</v>
      </c>
      <c r="L41" s="31" t="s">
        <v>215</v>
      </c>
      <c r="AB41" s="28"/>
      <c r="AC41" s="33"/>
    </row>
    <row r="42" spans="9:29" ht="12.75">
      <c r="I42" s="30" t="s">
        <v>341</v>
      </c>
      <c r="J42" s="30" t="s">
        <v>31</v>
      </c>
      <c r="K42" s="53">
        <f>(K41/D8/(3/4*D11/2))^0.5</f>
        <v>15.177954725231888</v>
      </c>
      <c r="L42" s="137" t="s">
        <v>217</v>
      </c>
      <c r="M42" s="30" t="s">
        <v>4</v>
      </c>
      <c r="AB42" s="28"/>
      <c r="AC42" s="33"/>
    </row>
    <row r="43" spans="1:33" ht="12.75">
      <c r="A43" s="175"/>
      <c r="B43" s="35"/>
      <c r="C43" s="35"/>
      <c r="D43" s="35"/>
      <c r="E43" s="222"/>
      <c r="F43" s="35"/>
      <c r="H43" s="35"/>
      <c r="I43" s="30" t="s">
        <v>323</v>
      </c>
      <c r="J43" s="30" t="s">
        <v>31</v>
      </c>
      <c r="K43" s="58">
        <f>AE23</f>
        <v>2148.672</v>
      </c>
      <c r="L43" s="31" t="s">
        <v>215</v>
      </c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175"/>
      <c r="AC43" s="264"/>
      <c r="AD43" s="35"/>
      <c r="AE43" s="35"/>
      <c r="AF43" s="35"/>
      <c r="AG43" s="35"/>
    </row>
    <row r="44" spans="9:29" ht="12.75">
      <c r="I44" s="30" t="s">
        <v>342</v>
      </c>
      <c r="J44" s="30" t="s">
        <v>31</v>
      </c>
      <c r="K44" s="53">
        <f>(K43/D8/(3/4*D12/2))^0.5</f>
        <v>15.177954725231888</v>
      </c>
      <c r="L44" s="137" t="s">
        <v>217</v>
      </c>
      <c r="M44" s="30" t="s">
        <v>4</v>
      </c>
      <c r="AB44" s="28"/>
      <c r="AC44" s="33"/>
    </row>
    <row r="45" spans="2:29" ht="12.75">
      <c r="B45" s="185"/>
      <c r="C45" s="185"/>
      <c r="D45" s="185"/>
      <c r="E45" s="196"/>
      <c r="F45" s="185"/>
      <c r="G45" s="185"/>
      <c r="H45" s="185"/>
      <c r="I45" s="185"/>
      <c r="J45" s="185"/>
      <c r="K45" s="185"/>
      <c r="L45" s="185"/>
      <c r="M45" s="185"/>
      <c r="AB45" s="28"/>
      <c r="AC45" s="33"/>
    </row>
    <row r="48" spans="6:7" ht="12.75">
      <c r="F48" s="56"/>
      <c r="G48" s="202"/>
    </row>
    <row r="60" spans="6:7" ht="12.75">
      <c r="F60" s="56"/>
      <c r="G60" s="202"/>
    </row>
    <row r="587" ht="12.75">
      <c r="Y587" s="63"/>
    </row>
    <row r="588" ht="12.75">
      <c r="Y588" s="63"/>
    </row>
    <row r="589" spans="7:34" s="63" customFormat="1" ht="12">
      <c r="G589" s="102"/>
      <c r="N589" s="192"/>
      <c r="AH589" s="192"/>
    </row>
    <row r="590" spans="7:34" s="63" customFormat="1" ht="12">
      <c r="G590" s="102"/>
      <c r="N590" s="192"/>
      <c r="AH590" s="192"/>
    </row>
    <row r="591" spans="7:34" s="63" customFormat="1" ht="12">
      <c r="G591" s="102"/>
      <c r="N591" s="192"/>
      <c r="AH591" s="192"/>
    </row>
    <row r="592" spans="7:34" s="63" customFormat="1" ht="12">
      <c r="G592" s="102"/>
      <c r="N592" s="192"/>
      <c r="AH592" s="192"/>
    </row>
    <row r="593" spans="7:34" s="63" customFormat="1" ht="12.75">
      <c r="G593" s="102"/>
      <c r="N593" s="192"/>
      <c r="Y593" s="30"/>
      <c r="AH593" s="192"/>
    </row>
    <row r="594" spans="7:34" s="63" customFormat="1" ht="12.75">
      <c r="G594" s="102"/>
      <c r="N594" s="192"/>
      <c r="Y594" s="30"/>
      <c r="AH594" s="192"/>
    </row>
  </sheetData>
  <mergeCells count="6">
    <mergeCell ref="AF20:AG20"/>
    <mergeCell ref="R21:S21"/>
    <mergeCell ref="AB21:AC21"/>
    <mergeCell ref="R20:U20"/>
    <mergeCell ref="V20:W20"/>
    <mergeCell ref="AB20:AE20"/>
  </mergeCells>
  <printOptions/>
  <pageMargins left="0.6" right="0.35433070866141736" top="0.75" bottom="0.2755905511811024" header="0.5905511811023623" footer="0.4330708661417323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9"/>
  <sheetViews>
    <sheetView workbookViewId="0" topLeftCell="A9">
      <selection activeCell="A20" sqref="A20:IV34"/>
    </sheetView>
  </sheetViews>
  <sheetFormatPr defaultColWidth="9.33203125" defaultRowHeight="18.75"/>
  <cols>
    <col min="2" max="2" width="12.83203125" style="0" customWidth="1"/>
    <col min="3" max="3" width="3.5" style="0" customWidth="1"/>
    <col min="4" max="4" width="4.5" style="0" customWidth="1"/>
    <col min="5" max="5" width="4.16015625" style="0" customWidth="1"/>
    <col min="6" max="6" width="3.66015625" style="0" customWidth="1"/>
    <col min="7" max="7" width="9.5" style="2" customWidth="1"/>
    <col min="8" max="8" width="11.33203125" style="0" customWidth="1"/>
    <col min="10" max="10" width="11.66015625" style="0" bestFit="1" customWidth="1"/>
    <col min="13" max="13" width="9.33203125" style="12" customWidth="1"/>
    <col min="15" max="15" width="9.33203125" style="26" customWidth="1"/>
  </cols>
  <sheetData>
    <row r="2" ht="21">
      <c r="E2" s="4" t="s">
        <v>196</v>
      </c>
    </row>
    <row r="3" ht="9" customHeight="1"/>
    <row r="4" spans="2:3" ht="18.75">
      <c r="B4" s="16" t="s">
        <v>176</v>
      </c>
      <c r="C4" t="s">
        <v>182</v>
      </c>
    </row>
    <row r="5" spans="4:11" ht="18.75">
      <c r="D5" t="s">
        <v>38</v>
      </c>
      <c r="E5" t="s">
        <v>128</v>
      </c>
      <c r="F5" s="15" t="s">
        <v>31</v>
      </c>
      <c r="G5" s="9">
        <v>2400</v>
      </c>
      <c r="H5" t="s">
        <v>1</v>
      </c>
      <c r="I5" t="s">
        <v>133</v>
      </c>
      <c r="J5" s="9">
        <v>2100000</v>
      </c>
      <c r="K5" t="s">
        <v>1</v>
      </c>
    </row>
    <row r="6" spans="5:11" ht="18.75">
      <c r="E6" t="s">
        <v>129</v>
      </c>
      <c r="F6" s="15" t="s">
        <v>31</v>
      </c>
      <c r="G6" s="9">
        <v>63.14</v>
      </c>
      <c r="H6" t="s">
        <v>130</v>
      </c>
      <c r="I6" t="s">
        <v>156</v>
      </c>
      <c r="J6" s="9">
        <v>13600</v>
      </c>
      <c r="K6" t="s">
        <v>157</v>
      </c>
    </row>
    <row r="7" spans="5:11" ht="18.75">
      <c r="E7" t="s">
        <v>131</v>
      </c>
      <c r="F7" s="15" t="s">
        <v>31</v>
      </c>
      <c r="G7" s="9">
        <v>14.7</v>
      </c>
      <c r="H7" t="s">
        <v>3</v>
      </c>
      <c r="I7" t="s">
        <v>158</v>
      </c>
      <c r="J7" s="12">
        <f>35/2</f>
        <v>17.5</v>
      </c>
      <c r="K7" t="s">
        <v>3</v>
      </c>
    </row>
    <row r="8" spans="5:11" ht="18.75">
      <c r="E8" t="s">
        <v>132</v>
      </c>
      <c r="F8" s="15" t="s">
        <v>31</v>
      </c>
      <c r="G8" s="9">
        <v>3.95</v>
      </c>
      <c r="H8" t="s">
        <v>3</v>
      </c>
      <c r="I8" t="s">
        <v>180</v>
      </c>
      <c r="J8" s="17">
        <f>J6/J7</f>
        <v>777.1428571428571</v>
      </c>
      <c r="K8" t="s">
        <v>9</v>
      </c>
    </row>
    <row r="9" spans="2:3" ht="18.75">
      <c r="B9" s="16" t="s">
        <v>23</v>
      </c>
      <c r="C9" t="s">
        <v>179</v>
      </c>
    </row>
    <row r="10" ht="18.75">
      <c r="C10" t="s">
        <v>183</v>
      </c>
    </row>
    <row r="11" ht="18.75">
      <c r="C11" t="s">
        <v>184</v>
      </c>
    </row>
    <row r="12" spans="3:4" ht="18.75">
      <c r="C12" s="15" t="s">
        <v>25</v>
      </c>
      <c r="D12" t="s">
        <v>177</v>
      </c>
    </row>
    <row r="13" spans="4:10" ht="18.75">
      <c r="D13" t="s">
        <v>29</v>
      </c>
      <c r="E13" t="s">
        <v>178</v>
      </c>
      <c r="F13" s="15" t="s">
        <v>31</v>
      </c>
      <c r="G13" s="9">
        <v>9472</v>
      </c>
      <c r="J13" t="s">
        <v>5</v>
      </c>
    </row>
    <row r="14" spans="4:10" ht="18.75">
      <c r="D14" t="s">
        <v>34</v>
      </c>
      <c r="E14" t="s">
        <v>126</v>
      </c>
      <c r="F14" s="15" t="s">
        <v>31</v>
      </c>
      <c r="G14" s="9">
        <v>10669</v>
      </c>
      <c r="J14" t="s">
        <v>127</v>
      </c>
    </row>
    <row r="15" spans="3:7" ht="18.75">
      <c r="C15" s="15" t="s">
        <v>25</v>
      </c>
      <c r="D15" s="16" t="s">
        <v>185</v>
      </c>
      <c r="F15" s="15"/>
      <c r="G15" s="22"/>
    </row>
    <row r="16" spans="5:11" ht="18.75">
      <c r="E16" t="s">
        <v>162</v>
      </c>
      <c r="F16" s="15" t="s">
        <v>31</v>
      </c>
      <c r="G16" s="9">
        <v>17.5</v>
      </c>
      <c r="H16" t="s">
        <v>3</v>
      </c>
      <c r="I16" t="s">
        <v>163</v>
      </c>
      <c r="J16" s="12">
        <v>1.1</v>
      </c>
      <c r="K16" t="s">
        <v>3</v>
      </c>
    </row>
    <row r="17" spans="4:7" ht="18.75">
      <c r="D17" t="s">
        <v>64</v>
      </c>
      <c r="F17" s="15" t="s">
        <v>31</v>
      </c>
      <c r="G17" s="22">
        <f>G16/2/J16</f>
        <v>7.954545454545454</v>
      </c>
    </row>
    <row r="18" spans="3:7" ht="18.75">
      <c r="C18" t="s">
        <v>65</v>
      </c>
      <c r="F18" s="15" t="s">
        <v>31</v>
      </c>
      <c r="G18" s="22">
        <f>437.7/G5^0.5</f>
        <v>8.934513836801642</v>
      </c>
    </row>
    <row r="19" spans="3:7" ht="18.75">
      <c r="C19" t="s">
        <v>164</v>
      </c>
      <c r="F19" s="15"/>
      <c r="G19" s="22">
        <f>796.5/G5^0.5</f>
        <v>16.258488167723346</v>
      </c>
    </row>
    <row r="20" spans="2:8" ht="18.75">
      <c r="B20" s="12"/>
      <c r="C20" s="12"/>
      <c r="D20" s="12" t="s">
        <v>64</v>
      </c>
      <c r="E20" s="12"/>
      <c r="F20" s="12" t="s">
        <v>428</v>
      </c>
      <c r="G20" s="12" t="s">
        <v>65</v>
      </c>
      <c r="H20" s="12"/>
    </row>
    <row r="21" spans="3:7" ht="18.75">
      <c r="C21" s="2" t="s">
        <v>81</v>
      </c>
      <c r="G21"/>
    </row>
    <row r="22" spans="3:8" ht="18.75">
      <c r="C22" t="s">
        <v>166</v>
      </c>
      <c r="D22" s="15" t="s">
        <v>31</v>
      </c>
      <c r="G22" t="s">
        <v>175</v>
      </c>
      <c r="H22" t="s">
        <v>519</v>
      </c>
    </row>
    <row r="23" spans="3:8" ht="18.75">
      <c r="C23" t="s">
        <v>166</v>
      </c>
      <c r="D23" s="15" t="s">
        <v>31</v>
      </c>
      <c r="G23" s="25">
        <f>0.66*G5</f>
        <v>1584</v>
      </c>
      <c r="H23" t="s">
        <v>1</v>
      </c>
    </row>
    <row r="24" spans="3:11" ht="18.75">
      <c r="C24" t="s">
        <v>7</v>
      </c>
      <c r="G24" s="170">
        <f>G14/G23*100</f>
        <v>673.5479797979798</v>
      </c>
      <c r="H24" s="3" t="s">
        <v>9</v>
      </c>
      <c r="I24" t="s">
        <v>181</v>
      </c>
      <c r="J24" s="259" t="s">
        <v>4</v>
      </c>
      <c r="K24" s="2"/>
    </row>
    <row r="25" spans="2:11" ht="18.75">
      <c r="B25" s="261" t="s">
        <v>64</v>
      </c>
      <c r="C25" s="12" t="s">
        <v>518</v>
      </c>
      <c r="D25" s="12" t="s">
        <v>164</v>
      </c>
      <c r="E25" s="12"/>
      <c r="F25" s="12"/>
      <c r="G25" s="27"/>
      <c r="H25" s="261"/>
      <c r="K25" s="2"/>
    </row>
    <row r="26" spans="3:7" ht="18.75">
      <c r="C26" s="2" t="s">
        <v>81</v>
      </c>
      <c r="G26"/>
    </row>
    <row r="27" spans="3:7" ht="18.75">
      <c r="C27" t="s">
        <v>166</v>
      </c>
      <c r="D27" s="15" t="s">
        <v>31</v>
      </c>
      <c r="G27" t="s">
        <v>520</v>
      </c>
    </row>
    <row r="28" spans="3:8" ht="18.75">
      <c r="C28" t="s">
        <v>166</v>
      </c>
      <c r="D28" s="15" t="s">
        <v>31</v>
      </c>
      <c r="G28" s="25">
        <f>0.6*G5</f>
        <v>1440</v>
      </c>
      <c r="H28" t="s">
        <v>1</v>
      </c>
    </row>
    <row r="29" spans="3:11" ht="18.75">
      <c r="C29" t="s">
        <v>7</v>
      </c>
      <c r="G29" s="170">
        <f>G14/G28*100</f>
        <v>740.9027777777778</v>
      </c>
      <c r="H29" s="3" t="s">
        <v>9</v>
      </c>
      <c r="I29" t="s">
        <v>181</v>
      </c>
      <c r="J29" s="259" t="s">
        <v>4</v>
      </c>
      <c r="K29" s="2"/>
    </row>
    <row r="30" spans="2:8" ht="18.75">
      <c r="B30" s="12" t="s">
        <v>65</v>
      </c>
      <c r="C30" s="12" t="s">
        <v>70</v>
      </c>
      <c r="D30" s="12" t="s">
        <v>64</v>
      </c>
      <c r="E30" s="12"/>
      <c r="F30" s="12" t="s">
        <v>70</v>
      </c>
      <c r="G30" s="12" t="s">
        <v>164</v>
      </c>
      <c r="H30" s="12"/>
    </row>
    <row r="31" ht="23.25" customHeight="1">
      <c r="C31" s="2" t="s">
        <v>165</v>
      </c>
    </row>
    <row r="32" spans="3:12" ht="18.75">
      <c r="C32" t="s">
        <v>166</v>
      </c>
      <c r="D32" s="15" t="s">
        <v>31</v>
      </c>
      <c r="E32" t="s">
        <v>167</v>
      </c>
      <c r="L32" s="3"/>
    </row>
    <row r="33" spans="3:8" ht="18.75">
      <c r="C33" t="s">
        <v>166</v>
      </c>
      <c r="D33" s="15" t="s">
        <v>31</v>
      </c>
      <c r="E33" s="17"/>
      <c r="G33" s="17">
        <f>G5*(0.733-0.000167*G17*G5^0.5)</f>
        <v>1603.011626764716</v>
      </c>
      <c r="H33" t="s">
        <v>1</v>
      </c>
    </row>
    <row r="34" spans="3:11" ht="18.75">
      <c r="C34" t="s">
        <v>7</v>
      </c>
      <c r="G34" s="170">
        <f>G14*100/G33</f>
        <v>665.559739047729</v>
      </c>
      <c r="H34" s="3" t="s">
        <v>9</v>
      </c>
      <c r="I34" t="s">
        <v>181</v>
      </c>
      <c r="J34" s="259" t="s">
        <v>4</v>
      </c>
      <c r="K34" s="2"/>
    </row>
    <row r="36" spans="3:4" ht="18.75">
      <c r="C36" s="15" t="s">
        <v>25</v>
      </c>
      <c r="D36" s="16" t="s">
        <v>186</v>
      </c>
    </row>
    <row r="37" spans="5:11" ht="18.75">
      <c r="E37" t="s">
        <v>187</v>
      </c>
      <c r="F37" s="15" t="s">
        <v>31</v>
      </c>
      <c r="G37" s="9">
        <v>0.7</v>
      </c>
      <c r="H37" t="s">
        <v>3</v>
      </c>
      <c r="I37" t="s">
        <v>188</v>
      </c>
      <c r="J37" s="12">
        <v>35</v>
      </c>
      <c r="K37" t="s">
        <v>3</v>
      </c>
    </row>
    <row r="38" spans="5:8" ht="18.75">
      <c r="E38" t="s">
        <v>190</v>
      </c>
      <c r="F38" s="15" t="s">
        <v>31</v>
      </c>
      <c r="G38" s="2">
        <f>G37*J37</f>
        <v>24.5</v>
      </c>
      <c r="H38" t="s">
        <v>130</v>
      </c>
    </row>
    <row r="39" spans="5:9" ht="18.75">
      <c r="E39" t="s">
        <v>192</v>
      </c>
      <c r="F39" s="15" t="s">
        <v>31</v>
      </c>
      <c r="G39" s="2" t="s">
        <v>191</v>
      </c>
      <c r="H39">
        <f>0.4*G5</f>
        <v>960</v>
      </c>
      <c r="I39" t="s">
        <v>1</v>
      </c>
    </row>
    <row r="40" spans="5:10" ht="18.75">
      <c r="E40" t="s">
        <v>192</v>
      </c>
      <c r="F40" s="15" t="s">
        <v>31</v>
      </c>
      <c r="G40" s="2" t="s">
        <v>193</v>
      </c>
      <c r="H40" s="17">
        <f>G13/G38</f>
        <v>386.61224489795916</v>
      </c>
      <c r="I40" t="s">
        <v>194</v>
      </c>
      <c r="J40" t="s">
        <v>4</v>
      </c>
    </row>
    <row r="42" spans="3:4" ht="18.75">
      <c r="C42" s="15" t="s">
        <v>25</v>
      </c>
      <c r="D42" s="16" t="s">
        <v>195</v>
      </c>
    </row>
    <row r="43" spans="4:11" ht="18.75">
      <c r="D43" t="s">
        <v>313</v>
      </c>
      <c r="G43" s="12">
        <v>0</v>
      </c>
      <c r="H43" t="s">
        <v>5</v>
      </c>
      <c r="K43" s="2"/>
    </row>
    <row r="44" spans="4:11" ht="18.75">
      <c r="D44" t="s">
        <v>314</v>
      </c>
      <c r="G44" s="10">
        <v>2742</v>
      </c>
      <c r="H44" s="7" t="s">
        <v>0</v>
      </c>
      <c r="K44" s="2"/>
    </row>
    <row r="45" spans="7:11" ht="18.75">
      <c r="G45" s="11">
        <v>6</v>
      </c>
      <c r="I45" s="6"/>
      <c r="K45" s="2"/>
    </row>
    <row r="46" spans="6:12" ht="18.75">
      <c r="F46" s="271">
        <f>G44*G45/2+G43/2</f>
        <v>8226</v>
      </c>
      <c r="G46" s="271"/>
      <c r="H46" s="271">
        <f>G44*G45/2+G43/2</f>
        <v>8226</v>
      </c>
      <c r="I46" s="271"/>
      <c r="K46" s="2"/>
      <c r="L46" s="3"/>
    </row>
    <row r="47" spans="3:12" ht="18.75">
      <c r="C47" t="s">
        <v>133</v>
      </c>
      <c r="E47" t="s">
        <v>351</v>
      </c>
      <c r="G47" s="3" t="s">
        <v>1</v>
      </c>
      <c r="J47" t="s">
        <v>10</v>
      </c>
      <c r="K47" s="9">
        <f>J6</f>
        <v>13600</v>
      </c>
      <c r="L47" s="3" t="s">
        <v>11</v>
      </c>
    </row>
    <row r="48" spans="2:12" ht="18.75">
      <c r="B48" t="s">
        <v>396</v>
      </c>
      <c r="C48" t="s">
        <v>2</v>
      </c>
      <c r="E48" t="s">
        <v>394</v>
      </c>
      <c r="G48"/>
      <c r="H48" t="s">
        <v>310</v>
      </c>
      <c r="J48" t="s">
        <v>2</v>
      </c>
      <c r="K48" s="8">
        <f>5/384*(G44*G45)*(G45*100)^3/2100000/K47+G43*(G45*100)^3/48/2100000/K47</f>
        <v>1.6201418067226891</v>
      </c>
      <c r="L48" s="3" t="s">
        <v>3</v>
      </c>
    </row>
    <row r="49" spans="2:12" ht="18.75">
      <c r="B49" t="s">
        <v>395</v>
      </c>
      <c r="C49" t="s">
        <v>2</v>
      </c>
      <c r="E49" t="s">
        <v>311</v>
      </c>
      <c r="G49"/>
      <c r="J49" s="5" t="s">
        <v>12</v>
      </c>
      <c r="K49" s="2">
        <f>G45*100/K48</f>
        <v>370.33795283248236</v>
      </c>
      <c r="L49" s="3" t="s">
        <v>4</v>
      </c>
    </row>
  </sheetData>
  <mergeCells count="2">
    <mergeCell ref="F46:G46"/>
    <mergeCell ref="H46:I46"/>
  </mergeCells>
  <printOptions/>
  <pageMargins left="0.9448818897637796" right="0.35433070866141736" top="0.75" bottom="0.2755905511811024" header="0.5905511811023623" footer="0.433070866141732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64"/>
  <sheetViews>
    <sheetView workbookViewId="0" topLeftCell="A1">
      <selection activeCell="C69" sqref="C69"/>
    </sheetView>
  </sheetViews>
  <sheetFormatPr defaultColWidth="9.33203125" defaultRowHeight="18.75"/>
  <cols>
    <col min="2" max="2" width="12.83203125" style="0" customWidth="1"/>
    <col min="3" max="3" width="3.5" style="0" customWidth="1"/>
    <col min="4" max="4" width="4.5" style="0" customWidth="1"/>
    <col min="5" max="5" width="4.16015625" style="0" customWidth="1"/>
    <col min="6" max="6" width="3.66015625" style="0" customWidth="1"/>
    <col min="7" max="7" width="9.5" style="2" customWidth="1"/>
    <col min="8" max="8" width="11.33203125" style="0" customWidth="1"/>
    <col min="10" max="10" width="11.66015625" style="0" bestFit="1" customWidth="1"/>
    <col min="13" max="13" width="9.33203125" style="250" customWidth="1"/>
    <col min="15" max="15" width="9.33203125" style="26" customWidth="1"/>
  </cols>
  <sheetData>
    <row r="2" ht="21">
      <c r="E2" s="4" t="s">
        <v>121</v>
      </c>
    </row>
    <row r="3" ht="9" customHeight="1"/>
    <row r="4" spans="2:3" ht="18.75">
      <c r="B4" s="23" t="s">
        <v>122</v>
      </c>
      <c r="C4" t="s">
        <v>174</v>
      </c>
    </row>
    <row r="5" spans="4:11" ht="18.75">
      <c r="D5" t="s">
        <v>38</v>
      </c>
      <c r="E5" t="s">
        <v>128</v>
      </c>
      <c r="F5" s="15" t="s">
        <v>31</v>
      </c>
      <c r="G5" s="9">
        <v>2400</v>
      </c>
      <c r="H5" t="s">
        <v>1</v>
      </c>
      <c r="I5" t="s">
        <v>133</v>
      </c>
      <c r="J5" s="9">
        <v>2100000</v>
      </c>
      <c r="K5" t="s">
        <v>1</v>
      </c>
    </row>
    <row r="6" spans="5:11" ht="18.75">
      <c r="E6" t="s">
        <v>129</v>
      </c>
      <c r="F6" s="15" t="s">
        <v>31</v>
      </c>
      <c r="G6" s="9">
        <v>46.78</v>
      </c>
      <c r="H6" t="s">
        <v>130</v>
      </c>
      <c r="I6" t="s">
        <v>156</v>
      </c>
      <c r="J6" s="9">
        <v>7210</v>
      </c>
      <c r="K6" t="s">
        <v>157</v>
      </c>
    </row>
    <row r="7" spans="5:11" ht="18.75">
      <c r="E7" t="s">
        <v>131</v>
      </c>
      <c r="F7" s="15" t="s">
        <v>31</v>
      </c>
      <c r="G7" s="9">
        <v>12.4</v>
      </c>
      <c r="H7" t="s">
        <v>3</v>
      </c>
      <c r="I7" t="s">
        <v>158</v>
      </c>
      <c r="J7" s="12">
        <v>15</v>
      </c>
      <c r="K7" t="s">
        <v>3</v>
      </c>
    </row>
    <row r="8" spans="5:11" ht="18.75">
      <c r="E8" t="s">
        <v>132</v>
      </c>
      <c r="F8" s="15" t="s">
        <v>31</v>
      </c>
      <c r="G8" s="9">
        <v>3.29</v>
      </c>
      <c r="H8" t="s">
        <v>3</v>
      </c>
      <c r="I8" t="s">
        <v>180</v>
      </c>
      <c r="J8" s="17">
        <f>J6/J7</f>
        <v>480.6666666666667</v>
      </c>
      <c r="K8" t="s">
        <v>9</v>
      </c>
    </row>
    <row r="11" spans="3:4" ht="18.75">
      <c r="C11" s="15" t="s">
        <v>25</v>
      </c>
      <c r="D11" t="s">
        <v>123</v>
      </c>
    </row>
    <row r="12" spans="4:10" ht="18.75">
      <c r="D12" t="s">
        <v>29</v>
      </c>
      <c r="E12" t="s">
        <v>124</v>
      </c>
      <c r="F12" s="15" t="s">
        <v>31</v>
      </c>
      <c r="G12" s="9">
        <v>14091</v>
      </c>
      <c r="J12" t="s">
        <v>5</v>
      </c>
    </row>
    <row r="13" spans="4:10" ht="18.75">
      <c r="D13" t="s">
        <v>34</v>
      </c>
      <c r="E13" t="s">
        <v>125</v>
      </c>
      <c r="F13" s="15" t="s">
        <v>31</v>
      </c>
      <c r="G13" s="9">
        <v>44</v>
      </c>
      <c r="J13" t="s">
        <v>5</v>
      </c>
    </row>
    <row r="14" spans="4:10" ht="18.75">
      <c r="D14" t="s">
        <v>36</v>
      </c>
      <c r="E14" t="s">
        <v>126</v>
      </c>
      <c r="F14" s="15" t="s">
        <v>31</v>
      </c>
      <c r="G14" s="9">
        <v>2152</v>
      </c>
      <c r="J14" t="s">
        <v>127</v>
      </c>
    </row>
    <row r="15" spans="4:10" ht="18.75">
      <c r="D15" t="s">
        <v>134</v>
      </c>
      <c r="E15" t="s">
        <v>136</v>
      </c>
      <c r="F15" s="15" t="s">
        <v>31</v>
      </c>
      <c r="G15" s="9">
        <v>6</v>
      </c>
      <c r="J15" t="s">
        <v>6</v>
      </c>
    </row>
    <row r="16" spans="4:10" ht="18.75">
      <c r="D16" t="s">
        <v>137</v>
      </c>
      <c r="E16" t="s">
        <v>138</v>
      </c>
      <c r="F16" s="15" t="s">
        <v>31</v>
      </c>
      <c r="G16" s="9">
        <v>3.2</v>
      </c>
      <c r="J16" t="s">
        <v>6</v>
      </c>
    </row>
    <row r="17" spans="2:10" ht="18.75">
      <c r="B17" t="s">
        <v>172</v>
      </c>
      <c r="D17" t="s">
        <v>38</v>
      </c>
      <c r="E17" t="s">
        <v>142</v>
      </c>
      <c r="F17" s="15" t="s">
        <v>31</v>
      </c>
      <c r="G17" s="9">
        <v>0.8</v>
      </c>
      <c r="I17" t="s">
        <v>140</v>
      </c>
      <c r="J17">
        <v>3.1416</v>
      </c>
    </row>
    <row r="18" spans="5:7" ht="18.75">
      <c r="E18" t="s">
        <v>143</v>
      </c>
      <c r="F18" s="15" t="s">
        <v>31</v>
      </c>
      <c r="G18" s="9">
        <v>0.8</v>
      </c>
    </row>
    <row r="19" spans="4:9" ht="18.75">
      <c r="D19" t="s">
        <v>144</v>
      </c>
      <c r="F19" s="15" t="s">
        <v>31</v>
      </c>
      <c r="G19" s="2">
        <f>G17*G15/G7*100</f>
        <v>38.70967741935484</v>
      </c>
      <c r="H19" t="s">
        <v>521</v>
      </c>
      <c r="I19" t="s">
        <v>173</v>
      </c>
    </row>
    <row r="20" spans="4:9" ht="18.75">
      <c r="D20" t="s">
        <v>145</v>
      </c>
      <c r="F20" s="15" t="s">
        <v>31</v>
      </c>
      <c r="G20" s="262">
        <f>G18*G16*100/G8</f>
        <v>77.8115501519757</v>
      </c>
      <c r="H20" t="s">
        <v>521</v>
      </c>
      <c r="I20" t="s">
        <v>173</v>
      </c>
    </row>
    <row r="21" spans="2:8" ht="18.75">
      <c r="B21" s="16" t="s">
        <v>23</v>
      </c>
      <c r="C21" t="s">
        <v>522</v>
      </c>
      <c r="F21" s="15"/>
      <c r="G21" t="s">
        <v>523</v>
      </c>
      <c r="H21" t="s">
        <v>521</v>
      </c>
    </row>
    <row r="22" spans="2:8" ht="18.75">
      <c r="B22" s="16"/>
      <c r="C22" t="s">
        <v>524</v>
      </c>
      <c r="F22" s="15"/>
      <c r="G22" t="s">
        <v>523</v>
      </c>
      <c r="H22" t="s">
        <v>525</v>
      </c>
    </row>
    <row r="23" spans="4:7" ht="18.75">
      <c r="D23" t="s">
        <v>139</v>
      </c>
      <c r="F23" s="15" t="s">
        <v>31</v>
      </c>
      <c r="G23" s="2">
        <f>(2*J17^2*J5/G5)^0.5</f>
        <v>131.42255696797258</v>
      </c>
    </row>
    <row r="24" spans="4:7" ht="18.75">
      <c r="D24" t="s">
        <v>135</v>
      </c>
      <c r="F24" t="s">
        <v>428</v>
      </c>
      <c r="G24" t="s">
        <v>139</v>
      </c>
    </row>
    <row r="25" spans="5:8" ht="18.75">
      <c r="E25" t="s">
        <v>141</v>
      </c>
      <c r="F25" s="15" t="s">
        <v>31</v>
      </c>
      <c r="G25" s="2">
        <f>(1-G20^2/2/G23^2)*G5/(5/3+3/8*G20/G23-G20^3/8/G23^3)</f>
        <v>1062.5912661660984</v>
      </c>
      <c r="H25" t="s">
        <v>1</v>
      </c>
    </row>
    <row r="26" spans="5:8" ht="18.75">
      <c r="E26" t="s">
        <v>146</v>
      </c>
      <c r="F26" s="15" t="s">
        <v>31</v>
      </c>
      <c r="G26" s="2">
        <f>G12/G6</f>
        <v>301.2184694313809</v>
      </c>
      <c r="H26" t="s">
        <v>1</v>
      </c>
    </row>
    <row r="27" spans="4:8" ht="19.5" customHeight="1">
      <c r="D27" t="s">
        <v>147</v>
      </c>
      <c r="F27" s="15" t="s">
        <v>31</v>
      </c>
      <c r="G27" s="2">
        <f>G26/G25</f>
        <v>0.28347538608913814</v>
      </c>
      <c r="H27" t="s">
        <v>148</v>
      </c>
    </row>
    <row r="28" spans="4:7" ht="18.75" hidden="1">
      <c r="D28" t="s">
        <v>135</v>
      </c>
      <c r="F28" t="s">
        <v>90</v>
      </c>
      <c r="G28" t="s">
        <v>139</v>
      </c>
    </row>
    <row r="29" spans="5:8" ht="18.75" hidden="1">
      <c r="E29" t="s">
        <v>141</v>
      </c>
      <c r="F29" s="15" t="s">
        <v>31</v>
      </c>
      <c r="G29" s="2">
        <f>12*J17^2*J5/23/G20^2</f>
        <v>1786.0201181081347</v>
      </c>
      <c r="H29" t="s">
        <v>1</v>
      </c>
    </row>
    <row r="30" spans="5:8" ht="18.75" hidden="1">
      <c r="E30" t="s">
        <v>146</v>
      </c>
      <c r="F30" s="15" t="s">
        <v>31</v>
      </c>
      <c r="G30" s="2">
        <f>G12/G6</f>
        <v>301.2184694313809</v>
      </c>
      <c r="H30" t="s">
        <v>1</v>
      </c>
    </row>
    <row r="31" spans="4:8" ht="18.75" hidden="1">
      <c r="D31" t="s">
        <v>147</v>
      </c>
      <c r="F31" s="15" t="s">
        <v>31</v>
      </c>
      <c r="G31" s="2">
        <f>G30/G29</f>
        <v>0.1686534582546867</v>
      </c>
      <c r="H31" t="s">
        <v>148</v>
      </c>
    </row>
    <row r="32" spans="4:11" ht="18.75">
      <c r="D32" t="s">
        <v>149</v>
      </c>
      <c r="I32" t="s">
        <v>150</v>
      </c>
      <c r="K32" t="s">
        <v>151</v>
      </c>
    </row>
    <row r="33" spans="5:8" ht="18.75">
      <c r="E33" t="s">
        <v>153</v>
      </c>
      <c r="F33" s="15" t="s">
        <v>31</v>
      </c>
      <c r="G33" s="2">
        <f>G14</f>
        <v>2152</v>
      </c>
      <c r="H33" t="s">
        <v>127</v>
      </c>
    </row>
    <row r="34" spans="5:8" ht="18.75">
      <c r="E34" t="s">
        <v>154</v>
      </c>
      <c r="F34" s="15" t="s">
        <v>31</v>
      </c>
      <c r="G34" s="9">
        <v>1800</v>
      </c>
      <c r="H34" t="s">
        <v>127</v>
      </c>
    </row>
    <row r="35" spans="4:11" ht="18.75">
      <c r="D35" t="s">
        <v>155</v>
      </c>
      <c r="F35" s="15" t="s">
        <v>31</v>
      </c>
      <c r="G35" s="2" t="s">
        <v>161</v>
      </c>
      <c r="I35" s="17">
        <f>0.6+0.4*(G34/G33)</f>
        <v>0.9345724907063198</v>
      </c>
      <c r="J35" t="s">
        <v>526</v>
      </c>
      <c r="K35" s="259" t="s">
        <v>4</v>
      </c>
    </row>
    <row r="36" spans="5:9" ht="18.75">
      <c r="E36" t="s">
        <v>152</v>
      </c>
      <c r="F36" s="15" t="s">
        <v>31</v>
      </c>
      <c r="G36" s="2" t="s">
        <v>159</v>
      </c>
      <c r="H36" s="17">
        <f>G33*100*J7/J6</f>
        <v>447.7115117891817</v>
      </c>
      <c r="I36" t="s">
        <v>1</v>
      </c>
    </row>
    <row r="37" spans="5:10" ht="18.75">
      <c r="E37" t="s">
        <v>160</v>
      </c>
      <c r="F37" s="15" t="s">
        <v>31</v>
      </c>
      <c r="G37" s="2">
        <f>12*J17^2*J5/23/G19^2</f>
        <v>7216.645577947826</v>
      </c>
      <c r="H37" t="s">
        <v>1</v>
      </c>
      <c r="I37" t="s">
        <v>390</v>
      </c>
      <c r="J37" t="s">
        <v>391</v>
      </c>
    </row>
    <row r="38" ht="18.75">
      <c r="F38" s="15"/>
    </row>
    <row r="39" spans="5:11" ht="18.75">
      <c r="E39" t="s">
        <v>162</v>
      </c>
      <c r="F39" s="15" t="s">
        <v>31</v>
      </c>
      <c r="G39" s="9">
        <v>15</v>
      </c>
      <c r="H39" t="s">
        <v>3</v>
      </c>
      <c r="I39" t="s">
        <v>163</v>
      </c>
      <c r="J39" s="12">
        <v>0.9</v>
      </c>
      <c r="K39" t="s">
        <v>3</v>
      </c>
    </row>
    <row r="40" spans="4:7" ht="18.75">
      <c r="D40" t="s">
        <v>64</v>
      </c>
      <c r="F40" s="15" t="s">
        <v>31</v>
      </c>
      <c r="G40" s="22">
        <f>G39/2/J39</f>
        <v>8.333333333333334</v>
      </c>
    </row>
    <row r="41" spans="3:7" ht="18.75">
      <c r="C41" t="s">
        <v>65</v>
      </c>
      <c r="F41" s="15" t="s">
        <v>31</v>
      </c>
      <c r="G41" s="22">
        <f>437.7/G5^0.5</f>
        <v>8.934513836801642</v>
      </c>
    </row>
    <row r="42" spans="3:7" ht="20.25" customHeight="1">
      <c r="C42" t="s">
        <v>164</v>
      </c>
      <c r="F42" s="15"/>
      <c r="G42" s="22">
        <f>796.5/G5^0.5</f>
        <v>16.258488167723346</v>
      </c>
    </row>
    <row r="43" spans="2:8" ht="18.75">
      <c r="B43" s="12"/>
      <c r="C43" s="12"/>
      <c r="D43" s="12" t="s">
        <v>64</v>
      </c>
      <c r="E43" s="12"/>
      <c r="F43" s="12" t="s">
        <v>70</v>
      </c>
      <c r="G43" s="12" t="s">
        <v>65</v>
      </c>
      <c r="H43" s="12"/>
    </row>
    <row r="44" spans="3:7" ht="18.75">
      <c r="C44" s="2" t="s">
        <v>81</v>
      </c>
      <c r="G44"/>
    </row>
    <row r="45" spans="3:8" ht="18.75">
      <c r="C45" t="s">
        <v>166</v>
      </c>
      <c r="D45" s="15" t="s">
        <v>31</v>
      </c>
      <c r="G45" t="s">
        <v>175</v>
      </c>
      <c r="H45" t="s">
        <v>519</v>
      </c>
    </row>
    <row r="46" spans="3:8" ht="18.75">
      <c r="C46" t="s">
        <v>166</v>
      </c>
      <c r="D46" s="15" t="s">
        <v>31</v>
      </c>
      <c r="G46" s="25">
        <f>0.66*G5</f>
        <v>1584</v>
      </c>
      <c r="H46" t="s">
        <v>1</v>
      </c>
    </row>
    <row r="47" spans="3:10" ht="18.75">
      <c r="C47" t="s">
        <v>168</v>
      </c>
      <c r="I47" s="24">
        <f>G27+I35*H36/(1-G26/G37)/G46</f>
        <v>0.5591345574065602</v>
      </c>
      <c r="J47" s="259" t="s">
        <v>4</v>
      </c>
    </row>
    <row r="48" spans="2:3" ht="18.75">
      <c r="B48" t="s">
        <v>169</v>
      </c>
      <c r="C48" t="s">
        <v>170</v>
      </c>
    </row>
    <row r="49" spans="4:10" ht="19.5" customHeight="1">
      <c r="D49" t="s">
        <v>171</v>
      </c>
      <c r="H49" s="17">
        <f>G26/0.6/G5+H36/G46</f>
        <v>0.4918256490932454</v>
      </c>
      <c r="J49" s="259" t="s">
        <v>4</v>
      </c>
    </row>
    <row r="50" spans="2:11" ht="18.75" hidden="1">
      <c r="B50" s="261" t="s">
        <v>64</v>
      </c>
      <c r="C50" s="12" t="s">
        <v>518</v>
      </c>
      <c r="D50" s="12" t="s">
        <v>164</v>
      </c>
      <c r="E50" s="12"/>
      <c r="F50" s="12"/>
      <c r="G50" s="27"/>
      <c r="H50" s="261"/>
      <c r="K50" s="2"/>
    </row>
    <row r="51" spans="3:7" ht="18.75" hidden="1">
      <c r="C51" s="2" t="s">
        <v>81</v>
      </c>
      <c r="G51"/>
    </row>
    <row r="52" spans="3:7" ht="18.75" hidden="1">
      <c r="C52" t="s">
        <v>166</v>
      </c>
      <c r="D52" s="15" t="s">
        <v>31</v>
      </c>
      <c r="G52" t="s">
        <v>520</v>
      </c>
    </row>
    <row r="53" spans="3:8" ht="18.75" hidden="1">
      <c r="C53" t="s">
        <v>166</v>
      </c>
      <c r="D53" s="15" t="s">
        <v>31</v>
      </c>
      <c r="G53" s="25">
        <f>0.6*G5</f>
        <v>1440</v>
      </c>
      <c r="H53" t="s">
        <v>1</v>
      </c>
    </row>
    <row r="54" spans="3:10" ht="18.75" hidden="1">
      <c r="C54" t="s">
        <v>168</v>
      </c>
      <c r="I54" s="24">
        <f>G27+I35*H36/(1-G26/G37)/G53</f>
        <v>0.5867004745383024</v>
      </c>
      <c r="J54" s="259" t="s">
        <v>4</v>
      </c>
    </row>
    <row r="55" spans="2:3" ht="18.75" hidden="1">
      <c r="B55" t="s">
        <v>169</v>
      </c>
      <c r="C55" t="s">
        <v>170</v>
      </c>
    </row>
    <row r="56" spans="4:10" ht="18.75" hidden="1">
      <c r="D56" t="s">
        <v>171</v>
      </c>
      <c r="H56" s="17">
        <f>G26/0.6/G5+H36/G53</f>
        <v>0.5200902647365018</v>
      </c>
      <c r="J56" t="s">
        <v>4</v>
      </c>
    </row>
    <row r="57" spans="2:8" ht="18.75" hidden="1">
      <c r="B57" s="12" t="s">
        <v>65</v>
      </c>
      <c r="C57" s="12" t="s">
        <v>70</v>
      </c>
      <c r="D57" s="12" t="s">
        <v>64</v>
      </c>
      <c r="E57" s="12"/>
      <c r="F57" s="12" t="s">
        <v>70</v>
      </c>
      <c r="G57" s="12" t="s">
        <v>164</v>
      </c>
      <c r="H57" s="12"/>
    </row>
    <row r="58" ht="23.25" customHeight="1" hidden="1">
      <c r="C58" s="2" t="s">
        <v>165</v>
      </c>
    </row>
    <row r="59" spans="3:12" ht="18.75" hidden="1">
      <c r="C59" t="s">
        <v>166</v>
      </c>
      <c r="D59" s="15" t="s">
        <v>31</v>
      </c>
      <c r="E59" t="s">
        <v>167</v>
      </c>
      <c r="L59" s="3"/>
    </row>
    <row r="60" spans="3:8" ht="18.75" hidden="1">
      <c r="C60" t="s">
        <v>166</v>
      </c>
      <c r="D60" s="15" t="s">
        <v>31</v>
      </c>
      <c r="E60" s="17"/>
      <c r="G60" s="17">
        <f>G5*(0.733-0.000167*G40*G5^0.5)</f>
        <v>1595.5740851820838</v>
      </c>
      <c r="H60" t="s">
        <v>1</v>
      </c>
    </row>
    <row r="61" spans="3:10" ht="18.75" hidden="1">
      <c r="C61" t="s">
        <v>168</v>
      </c>
      <c r="I61" s="24">
        <f>G27+I35*H36/(1-G26/G37)/G60</f>
        <v>0.5571349619257359</v>
      </c>
      <c r="J61" t="s">
        <v>4</v>
      </c>
    </row>
    <row r="62" spans="2:3" ht="18.75" hidden="1">
      <c r="B62" t="s">
        <v>169</v>
      </c>
      <c r="C62" t="s">
        <v>170</v>
      </c>
    </row>
    <row r="63" spans="4:10" ht="18.75" hidden="1">
      <c r="D63" t="s">
        <v>171</v>
      </c>
      <c r="H63" s="17">
        <f>G26/0.6/G5+H36/G60</f>
        <v>0.4897753709386176</v>
      </c>
      <c r="J63" t="s">
        <v>4</v>
      </c>
    </row>
    <row r="64" s="250" customFormat="1" ht="18.75">
      <c r="G64" s="253"/>
    </row>
  </sheetData>
  <printOptions/>
  <pageMargins left="0.9448818897637796" right="0.35433070866141736" top="0.75" bottom="0.2755905511811024" header="0.5905511811023623" footer="0.43307086614173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L64"/>
  <sheetViews>
    <sheetView workbookViewId="0" topLeftCell="A1">
      <selection activeCell="L51" sqref="L51"/>
    </sheetView>
  </sheetViews>
  <sheetFormatPr defaultColWidth="9.33203125" defaultRowHeight="18.75"/>
  <cols>
    <col min="2" max="2" width="12.83203125" style="0" customWidth="1"/>
    <col min="3" max="3" width="3.5" style="0" customWidth="1"/>
    <col min="4" max="4" width="4.5" style="0" customWidth="1"/>
    <col min="5" max="5" width="4.16015625" style="0" customWidth="1"/>
    <col min="6" max="6" width="3.66015625" style="0" customWidth="1"/>
    <col min="7" max="7" width="9.5" style="2" customWidth="1"/>
    <col min="8" max="8" width="11.33203125" style="0" customWidth="1"/>
    <col min="10" max="10" width="11.66015625" style="0" bestFit="1" customWidth="1"/>
    <col min="13" max="13" width="9.33203125" style="250" customWidth="1"/>
    <col min="15" max="15" width="9.33203125" style="26" customWidth="1"/>
  </cols>
  <sheetData>
    <row r="2" ht="21">
      <c r="E2" s="4" t="s">
        <v>121</v>
      </c>
    </row>
    <row r="3" ht="9" customHeight="1"/>
    <row r="4" spans="2:3" ht="18.75">
      <c r="B4" s="23" t="s">
        <v>122</v>
      </c>
      <c r="C4" t="s">
        <v>174</v>
      </c>
    </row>
    <row r="5" spans="4:11" ht="18.75">
      <c r="D5" t="s">
        <v>38</v>
      </c>
      <c r="E5" t="s">
        <v>128</v>
      </c>
      <c r="F5" s="15" t="s">
        <v>31</v>
      </c>
      <c r="G5" s="9">
        <v>2400</v>
      </c>
      <c r="H5" t="s">
        <v>1</v>
      </c>
      <c r="I5" t="s">
        <v>133</v>
      </c>
      <c r="J5" s="9">
        <v>2100000</v>
      </c>
      <c r="K5" t="s">
        <v>1</v>
      </c>
    </row>
    <row r="6" spans="5:11" ht="18.75">
      <c r="E6" t="s">
        <v>129</v>
      </c>
      <c r="F6" s="15" t="s">
        <v>31</v>
      </c>
      <c r="G6" s="9">
        <v>46.78</v>
      </c>
      <c r="H6" t="s">
        <v>130</v>
      </c>
      <c r="I6" t="s">
        <v>156</v>
      </c>
      <c r="J6" s="9">
        <v>7210</v>
      </c>
      <c r="K6" t="s">
        <v>157</v>
      </c>
    </row>
    <row r="7" spans="5:11" ht="18.75">
      <c r="E7" t="s">
        <v>131</v>
      </c>
      <c r="F7" s="15" t="s">
        <v>31</v>
      </c>
      <c r="G7" s="9">
        <v>12.4</v>
      </c>
      <c r="H7" t="s">
        <v>3</v>
      </c>
      <c r="I7" t="s">
        <v>158</v>
      </c>
      <c r="J7" s="12">
        <v>15</v>
      </c>
      <c r="K7" t="s">
        <v>3</v>
      </c>
    </row>
    <row r="8" spans="5:11" ht="18.75">
      <c r="E8" t="s">
        <v>132</v>
      </c>
      <c r="F8" s="15" t="s">
        <v>31</v>
      </c>
      <c r="G8" s="9">
        <v>3.29</v>
      </c>
      <c r="H8" t="s">
        <v>3</v>
      </c>
      <c r="I8" t="s">
        <v>180</v>
      </c>
      <c r="J8" s="17">
        <f>J6/J7</f>
        <v>480.6666666666667</v>
      </c>
      <c r="K8" t="s">
        <v>9</v>
      </c>
    </row>
    <row r="11" spans="3:4" ht="18.75">
      <c r="C11" s="15" t="s">
        <v>25</v>
      </c>
      <c r="D11" t="s">
        <v>123</v>
      </c>
    </row>
    <row r="12" spans="4:10" ht="18.75">
      <c r="D12" t="s">
        <v>29</v>
      </c>
      <c r="E12" t="s">
        <v>124</v>
      </c>
      <c r="F12" s="15" t="s">
        <v>31</v>
      </c>
      <c r="G12" s="9">
        <v>14091</v>
      </c>
      <c r="J12" t="s">
        <v>5</v>
      </c>
    </row>
    <row r="13" spans="4:10" ht="18.75">
      <c r="D13" t="s">
        <v>34</v>
      </c>
      <c r="E13" t="s">
        <v>125</v>
      </c>
      <c r="F13" s="15" t="s">
        <v>31</v>
      </c>
      <c r="G13" s="9">
        <v>44</v>
      </c>
      <c r="J13" t="s">
        <v>5</v>
      </c>
    </row>
    <row r="14" spans="4:10" ht="18.75">
      <c r="D14" t="s">
        <v>36</v>
      </c>
      <c r="E14" t="s">
        <v>126</v>
      </c>
      <c r="F14" s="15" t="s">
        <v>31</v>
      </c>
      <c r="G14" s="9">
        <v>2152</v>
      </c>
      <c r="J14" t="s">
        <v>127</v>
      </c>
    </row>
    <row r="15" spans="4:10" ht="18.75">
      <c r="D15" t="s">
        <v>134</v>
      </c>
      <c r="E15" t="s">
        <v>136</v>
      </c>
      <c r="F15" s="15" t="s">
        <v>31</v>
      </c>
      <c r="G15" s="9">
        <v>6</v>
      </c>
      <c r="J15" t="s">
        <v>6</v>
      </c>
    </row>
    <row r="16" spans="4:10" ht="18.75">
      <c r="D16" t="s">
        <v>137</v>
      </c>
      <c r="E16" t="s">
        <v>138</v>
      </c>
      <c r="F16" s="15" t="s">
        <v>31</v>
      </c>
      <c r="G16" s="9">
        <v>3.2</v>
      </c>
      <c r="J16" t="s">
        <v>6</v>
      </c>
    </row>
    <row r="17" spans="2:10" ht="18.75">
      <c r="B17" t="s">
        <v>172</v>
      </c>
      <c r="D17" t="s">
        <v>38</v>
      </c>
      <c r="E17" t="s">
        <v>142</v>
      </c>
      <c r="F17" s="15" t="s">
        <v>31</v>
      </c>
      <c r="G17" s="9">
        <v>2</v>
      </c>
      <c r="I17" t="s">
        <v>140</v>
      </c>
      <c r="J17">
        <v>3.1416</v>
      </c>
    </row>
    <row r="18" spans="5:7" ht="18.75">
      <c r="E18" t="s">
        <v>143</v>
      </c>
      <c r="F18" s="15" t="s">
        <v>31</v>
      </c>
      <c r="G18" s="9">
        <v>0.8</v>
      </c>
    </row>
    <row r="19" spans="4:9" ht="18.75">
      <c r="D19" t="s">
        <v>144</v>
      </c>
      <c r="F19" s="15" t="s">
        <v>31</v>
      </c>
      <c r="G19" s="262">
        <f>G17*G15/G7*100</f>
        <v>96.77419354838709</v>
      </c>
      <c r="H19" t="s">
        <v>521</v>
      </c>
      <c r="I19" t="s">
        <v>173</v>
      </c>
    </row>
    <row r="20" spans="4:9" ht="18.75">
      <c r="D20" t="s">
        <v>145</v>
      </c>
      <c r="F20" s="15" t="s">
        <v>31</v>
      </c>
      <c r="G20" s="2">
        <f>G18*G16*100/G8</f>
        <v>77.8115501519757</v>
      </c>
      <c r="H20" t="s">
        <v>521</v>
      </c>
      <c r="I20" t="s">
        <v>173</v>
      </c>
    </row>
    <row r="21" spans="2:8" ht="18.75">
      <c r="B21" s="16" t="s">
        <v>23</v>
      </c>
      <c r="C21" t="s">
        <v>522</v>
      </c>
      <c r="F21" s="15"/>
      <c r="G21" t="s">
        <v>523</v>
      </c>
      <c r="H21" t="s">
        <v>521</v>
      </c>
    </row>
    <row r="22" spans="2:8" ht="18.75">
      <c r="B22" s="16"/>
      <c r="C22" t="s">
        <v>524</v>
      </c>
      <c r="F22" s="15"/>
      <c r="G22" t="s">
        <v>523</v>
      </c>
      <c r="H22" t="s">
        <v>525</v>
      </c>
    </row>
    <row r="23" spans="4:7" ht="18.75">
      <c r="D23" t="s">
        <v>139</v>
      </c>
      <c r="F23" s="15" t="s">
        <v>31</v>
      </c>
      <c r="G23" s="2">
        <f>(2*J17^2*J5/G5)^0.5</f>
        <v>131.42255696797258</v>
      </c>
    </row>
    <row r="24" spans="4:7" ht="18.75">
      <c r="D24" t="s">
        <v>135</v>
      </c>
      <c r="F24" t="s">
        <v>428</v>
      </c>
      <c r="G24" t="s">
        <v>139</v>
      </c>
    </row>
    <row r="25" spans="5:9" ht="18.75">
      <c r="E25" t="s">
        <v>141</v>
      </c>
      <c r="F25" s="15" t="s">
        <v>31</v>
      </c>
      <c r="G25" s="2">
        <f>(1-G19^2/2/G23^2)*G5/(5/3+3/8*G19/G23-G19^3/8/G23^3)</f>
        <v>924.1573592385428</v>
      </c>
      <c r="H25" t="s">
        <v>1</v>
      </c>
      <c r="I25" t="s">
        <v>393</v>
      </c>
    </row>
    <row r="26" spans="5:9" ht="18.75">
      <c r="E26" t="s">
        <v>146</v>
      </c>
      <c r="F26" s="15" t="s">
        <v>31</v>
      </c>
      <c r="G26" s="2">
        <f>G12/G6</f>
        <v>301.2184694313809</v>
      </c>
      <c r="H26" t="s">
        <v>1</v>
      </c>
      <c r="I26" t="s">
        <v>392</v>
      </c>
    </row>
    <row r="27" spans="4:8" ht="18.75">
      <c r="D27" t="s">
        <v>147</v>
      </c>
      <c r="F27" s="15" t="s">
        <v>31</v>
      </c>
      <c r="G27" s="2">
        <f>G26/G25</f>
        <v>0.32593850648938094</v>
      </c>
      <c r="H27" t="s">
        <v>148</v>
      </c>
    </row>
    <row r="28" spans="4:7" ht="18.75" hidden="1">
      <c r="D28" t="s">
        <v>135</v>
      </c>
      <c r="F28" t="s">
        <v>90</v>
      </c>
      <c r="G28" t="s">
        <v>139</v>
      </c>
    </row>
    <row r="29" spans="5:8" ht="18.75" hidden="1">
      <c r="E29" t="s">
        <v>141</v>
      </c>
      <c r="F29" s="15" t="s">
        <v>31</v>
      </c>
      <c r="G29" s="2">
        <f>12*J17^2*J5/23/G19^2</f>
        <v>1154.6632924716523</v>
      </c>
      <c r="H29" t="s">
        <v>1</v>
      </c>
    </row>
    <row r="30" spans="5:8" ht="18.75" hidden="1">
      <c r="E30" t="s">
        <v>146</v>
      </c>
      <c r="F30" s="15" t="s">
        <v>31</v>
      </c>
      <c r="G30" s="2">
        <f>G12/G6</f>
        <v>301.2184694313809</v>
      </c>
      <c r="H30" t="s">
        <v>1</v>
      </c>
    </row>
    <row r="31" spans="4:8" ht="18.75" hidden="1">
      <c r="D31" t="s">
        <v>147</v>
      </c>
      <c r="F31" s="15" t="s">
        <v>31</v>
      </c>
      <c r="G31" s="2">
        <f>G30/G29</f>
        <v>0.2608712612545237</v>
      </c>
      <c r="H31" t="s">
        <v>148</v>
      </c>
    </row>
    <row r="32" spans="4:11" ht="18.75">
      <c r="D32" t="s">
        <v>149</v>
      </c>
      <c r="I32" t="s">
        <v>150</v>
      </c>
      <c r="K32" t="s">
        <v>151</v>
      </c>
    </row>
    <row r="33" spans="5:8" ht="18.75">
      <c r="E33" t="s">
        <v>153</v>
      </c>
      <c r="F33" s="15" t="s">
        <v>31</v>
      </c>
      <c r="G33" s="2">
        <f>G14</f>
        <v>2152</v>
      </c>
      <c r="H33" t="s">
        <v>127</v>
      </c>
    </row>
    <row r="34" spans="5:8" ht="18.75">
      <c r="E34" t="s">
        <v>154</v>
      </c>
      <c r="F34" s="15" t="s">
        <v>31</v>
      </c>
      <c r="G34" s="9">
        <v>1800</v>
      </c>
      <c r="H34" t="s">
        <v>127</v>
      </c>
    </row>
    <row r="35" spans="4:9" ht="18.75">
      <c r="D35" t="s">
        <v>155</v>
      </c>
      <c r="F35" s="15" t="s">
        <v>31</v>
      </c>
      <c r="G35" s="2" t="s">
        <v>161</v>
      </c>
      <c r="I35" s="17">
        <f>0.6+0.4*(G34/G33)</f>
        <v>0.9345724907063198</v>
      </c>
    </row>
    <row r="36" spans="5:9" ht="18.75">
      <c r="E36" t="s">
        <v>152</v>
      </c>
      <c r="F36" s="15" t="s">
        <v>31</v>
      </c>
      <c r="G36" s="2" t="s">
        <v>159</v>
      </c>
      <c r="H36" s="17">
        <f>G33*100*J7/J6</f>
        <v>447.7115117891817</v>
      </c>
      <c r="I36" t="s">
        <v>1</v>
      </c>
    </row>
    <row r="37" spans="5:10" ht="18.75">
      <c r="E37" t="s">
        <v>160</v>
      </c>
      <c r="F37" s="15" t="s">
        <v>31</v>
      </c>
      <c r="G37" s="2">
        <f>12*J17^2*J5/23/G19^2</f>
        <v>1154.6632924716523</v>
      </c>
      <c r="H37" t="s">
        <v>1</v>
      </c>
      <c r="I37" t="s">
        <v>390</v>
      </c>
      <c r="J37" t="s">
        <v>391</v>
      </c>
    </row>
    <row r="38" ht="18.75">
      <c r="F38" s="15"/>
    </row>
    <row r="39" spans="5:11" ht="18.75">
      <c r="E39" t="s">
        <v>162</v>
      </c>
      <c r="F39" s="15" t="s">
        <v>31</v>
      </c>
      <c r="G39" s="9">
        <v>15</v>
      </c>
      <c r="H39" t="s">
        <v>3</v>
      </c>
      <c r="I39" t="s">
        <v>163</v>
      </c>
      <c r="J39" s="12">
        <v>0.9</v>
      </c>
      <c r="K39" t="s">
        <v>3</v>
      </c>
    </row>
    <row r="40" spans="4:7" ht="18.75">
      <c r="D40" t="s">
        <v>64</v>
      </c>
      <c r="F40" s="15" t="s">
        <v>31</v>
      </c>
      <c r="G40" s="22">
        <f>G39/2/J39</f>
        <v>8.333333333333334</v>
      </c>
    </row>
    <row r="41" spans="3:7" ht="18.75">
      <c r="C41" t="s">
        <v>65</v>
      </c>
      <c r="F41" s="15" t="s">
        <v>31</v>
      </c>
      <c r="G41" s="22">
        <f>437.7/G5^0.5</f>
        <v>8.934513836801642</v>
      </c>
    </row>
    <row r="42" spans="3:7" ht="18.75">
      <c r="C42" t="s">
        <v>164</v>
      </c>
      <c r="F42" s="15"/>
      <c r="G42" s="22">
        <f>796.5/G5^0.5</f>
        <v>16.258488167723346</v>
      </c>
    </row>
    <row r="43" spans="2:8" ht="18.75">
      <c r="B43" s="12"/>
      <c r="C43" s="12"/>
      <c r="D43" s="12" t="s">
        <v>64</v>
      </c>
      <c r="E43" s="12"/>
      <c r="F43" s="12" t="s">
        <v>70</v>
      </c>
      <c r="G43" s="12" t="s">
        <v>65</v>
      </c>
      <c r="H43" s="12"/>
    </row>
    <row r="44" spans="3:7" ht="18.75">
      <c r="C44" s="2" t="s">
        <v>81</v>
      </c>
      <c r="G44"/>
    </row>
    <row r="45" spans="3:7" ht="18.75">
      <c r="C45" t="s">
        <v>166</v>
      </c>
      <c r="D45" s="15" t="s">
        <v>31</v>
      </c>
      <c r="G45" t="s">
        <v>175</v>
      </c>
    </row>
    <row r="46" spans="3:8" ht="18.75">
      <c r="C46" t="s">
        <v>166</v>
      </c>
      <c r="D46" s="15" t="s">
        <v>31</v>
      </c>
      <c r="G46" s="25">
        <f>0.66*G5</f>
        <v>1584</v>
      </c>
      <c r="H46" t="s">
        <v>1</v>
      </c>
    </row>
    <row r="47" spans="3:10" ht="18.75">
      <c r="C47" t="s">
        <v>168</v>
      </c>
      <c r="I47" s="17">
        <f>G27+I35*H36/(1-G26/G37)/G46</f>
        <v>0.6833232333423744</v>
      </c>
      <c r="J47" t="s">
        <v>4</v>
      </c>
    </row>
    <row r="48" spans="2:3" ht="18.75">
      <c r="B48" t="s">
        <v>169</v>
      </c>
      <c r="C48" t="s">
        <v>170</v>
      </c>
    </row>
    <row r="49" spans="4:10" ht="18.75">
      <c r="D49" t="s">
        <v>171</v>
      </c>
      <c r="H49" s="17">
        <f>G26/0.6/G5+H36/G46</f>
        <v>0.4918256490932454</v>
      </c>
      <c r="J49" t="s">
        <v>4</v>
      </c>
    </row>
    <row r="50" spans="2:11" ht="18.75">
      <c r="B50" s="261" t="s">
        <v>64</v>
      </c>
      <c r="C50" s="12" t="s">
        <v>518</v>
      </c>
      <c r="D50" s="12" t="s">
        <v>164</v>
      </c>
      <c r="E50" s="12"/>
      <c r="F50" s="12"/>
      <c r="G50" s="27"/>
      <c r="H50" s="261"/>
      <c r="K50" s="2"/>
    </row>
    <row r="51" spans="3:7" ht="18.75">
      <c r="C51" s="2" t="s">
        <v>81</v>
      </c>
      <c r="G51"/>
    </row>
    <row r="52" spans="3:7" ht="18.75">
      <c r="C52" t="s">
        <v>166</v>
      </c>
      <c r="D52" s="15" t="s">
        <v>31</v>
      </c>
      <c r="G52" t="s">
        <v>520</v>
      </c>
    </row>
    <row r="53" spans="3:8" ht="18.75">
      <c r="C53" t="s">
        <v>166</v>
      </c>
      <c r="D53" s="15" t="s">
        <v>31</v>
      </c>
      <c r="G53" s="25">
        <f>0.6*G5</f>
        <v>1440</v>
      </c>
      <c r="H53" t="s">
        <v>1</v>
      </c>
    </row>
    <row r="54" spans="3:10" ht="18.75">
      <c r="C54" t="s">
        <v>168</v>
      </c>
      <c r="I54" s="24">
        <f>G27+I35*H36/(1-G26/G37)/G53</f>
        <v>0.7190617060276737</v>
      </c>
      <c r="J54" s="259" t="s">
        <v>4</v>
      </c>
    </row>
    <row r="55" spans="2:3" ht="18.75">
      <c r="B55" t="s">
        <v>169</v>
      </c>
      <c r="C55" t="s">
        <v>170</v>
      </c>
    </row>
    <row r="56" spans="4:10" ht="18.75">
      <c r="D56" t="s">
        <v>171</v>
      </c>
      <c r="H56" s="17">
        <f>G26/0.6/G5+H36/G53</f>
        <v>0.5200902647365018</v>
      </c>
      <c r="J56" t="s">
        <v>4</v>
      </c>
    </row>
    <row r="57" spans="2:8" ht="18.75">
      <c r="B57" s="12" t="s">
        <v>65</v>
      </c>
      <c r="C57" s="12" t="s">
        <v>70</v>
      </c>
      <c r="D57" s="12" t="s">
        <v>64</v>
      </c>
      <c r="E57" s="12"/>
      <c r="F57" s="12" t="s">
        <v>70</v>
      </c>
      <c r="G57" s="12" t="s">
        <v>164</v>
      </c>
      <c r="H57" s="12"/>
    </row>
    <row r="58" ht="23.25" customHeight="1">
      <c r="C58" s="2" t="s">
        <v>165</v>
      </c>
    </row>
    <row r="59" spans="3:12" ht="18.75">
      <c r="C59" t="s">
        <v>166</v>
      </c>
      <c r="D59" s="15" t="s">
        <v>31</v>
      </c>
      <c r="E59" t="s">
        <v>167</v>
      </c>
      <c r="L59" s="3"/>
    </row>
    <row r="60" spans="3:8" ht="18.75">
      <c r="C60" t="s">
        <v>166</v>
      </c>
      <c r="D60" s="15" t="s">
        <v>31</v>
      </c>
      <c r="E60" s="17"/>
      <c r="G60" s="17">
        <f>G5*(0.733-0.000167*G40*G5^0.5)</f>
        <v>1595.5740851820838</v>
      </c>
      <c r="H60" t="s">
        <v>1</v>
      </c>
    </row>
    <row r="61" spans="3:10" ht="18.75">
      <c r="C61" t="s">
        <v>168</v>
      </c>
      <c r="I61" s="24">
        <f>G27+I35*H36/(1-G26/G37)/G60</f>
        <v>0.6807308113985822</v>
      </c>
      <c r="J61" t="s">
        <v>4</v>
      </c>
    </row>
    <row r="62" spans="2:3" ht="18.75">
      <c r="B62" t="s">
        <v>169</v>
      </c>
      <c r="C62" t="s">
        <v>170</v>
      </c>
    </row>
    <row r="63" spans="4:10" ht="18.75">
      <c r="D63" t="s">
        <v>171</v>
      </c>
      <c r="H63" s="17">
        <f>G26/0.6/G5+H36/G60</f>
        <v>0.4897753709386176</v>
      </c>
      <c r="J63" t="s">
        <v>4</v>
      </c>
    </row>
    <row r="64" s="250" customFormat="1" ht="18.75">
      <c r="G64" s="253"/>
    </row>
  </sheetData>
  <printOptions/>
  <pageMargins left="0.9448818897637796" right="0.35433070866141736" top="0.75" bottom="0.2755905511811024" header="0.5905511811023623" footer="0.43307086614173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5"/>
  <sheetViews>
    <sheetView workbookViewId="0" topLeftCell="A31">
      <selection activeCell="F38" sqref="F38"/>
    </sheetView>
  </sheetViews>
  <sheetFormatPr defaultColWidth="9.33203125" defaultRowHeight="18.75"/>
  <cols>
    <col min="3" max="3" width="6.5" style="0" customWidth="1"/>
    <col min="4" max="4" width="3" style="0" customWidth="1"/>
    <col min="7" max="7" width="9.33203125" style="2" customWidth="1"/>
  </cols>
  <sheetData>
    <row r="3" ht="26.25">
      <c r="C3" s="14" t="s">
        <v>21</v>
      </c>
    </row>
    <row r="5" spans="2:3" ht="26.25">
      <c r="B5" s="13"/>
      <c r="C5" s="14" t="s">
        <v>17</v>
      </c>
    </row>
    <row r="6" spans="2:3" ht="18.75">
      <c r="B6" s="13">
        <v>1</v>
      </c>
      <c r="C6" t="s">
        <v>18</v>
      </c>
    </row>
    <row r="7" spans="2:3" ht="18.75">
      <c r="B7" s="13">
        <v>2</v>
      </c>
      <c r="C7" t="s">
        <v>19</v>
      </c>
    </row>
    <row r="8" spans="2:3" ht="18.75">
      <c r="B8" s="13">
        <v>3</v>
      </c>
      <c r="C8" t="s">
        <v>20</v>
      </c>
    </row>
    <row r="10" ht="26.25">
      <c r="C10" s="14" t="s">
        <v>343</v>
      </c>
    </row>
    <row r="11" ht="18.75">
      <c r="B11" s="16" t="s">
        <v>344</v>
      </c>
    </row>
    <row r="12" spans="3:7" ht="18.75">
      <c r="C12" t="s">
        <v>346</v>
      </c>
      <c r="D12" s="15" t="s">
        <v>31</v>
      </c>
      <c r="E12" t="s">
        <v>345</v>
      </c>
      <c r="G12" t="s">
        <v>127</v>
      </c>
    </row>
    <row r="13" spans="4:7" ht="18.75">
      <c r="D13" s="15" t="s">
        <v>31</v>
      </c>
      <c r="E13" t="s">
        <v>347</v>
      </c>
      <c r="G13" t="s">
        <v>127</v>
      </c>
    </row>
    <row r="15" spans="3:8" ht="18.75">
      <c r="C15" t="s">
        <v>129</v>
      </c>
      <c r="D15" s="15" t="s">
        <v>31</v>
      </c>
      <c r="E15" t="s">
        <v>348</v>
      </c>
      <c r="G15" s="2" t="s">
        <v>130</v>
      </c>
      <c r="H15" t="s">
        <v>367</v>
      </c>
    </row>
    <row r="17" ht="18.75">
      <c r="B17" s="16" t="s">
        <v>349</v>
      </c>
    </row>
    <row r="18" spans="3:10" ht="18.75">
      <c r="C18" t="s">
        <v>350</v>
      </c>
      <c r="D18" s="15" t="s">
        <v>31</v>
      </c>
      <c r="E18" t="s">
        <v>312</v>
      </c>
      <c r="G18"/>
      <c r="H18" t="s">
        <v>310</v>
      </c>
      <c r="J18" t="s">
        <v>3</v>
      </c>
    </row>
    <row r="19" spans="4:10" ht="18.75">
      <c r="D19" s="15" t="s">
        <v>31</v>
      </c>
      <c r="E19" t="s">
        <v>311</v>
      </c>
      <c r="J19" t="s">
        <v>3</v>
      </c>
    </row>
    <row r="20" spans="3:7" ht="18.75">
      <c r="C20" t="s">
        <v>380</v>
      </c>
      <c r="D20" s="15" t="s">
        <v>31</v>
      </c>
      <c r="E20">
        <v>2100000</v>
      </c>
      <c r="G20" s="3" t="s">
        <v>1</v>
      </c>
    </row>
    <row r="22" ht="18.75">
      <c r="B22" s="16" t="s">
        <v>352</v>
      </c>
    </row>
    <row r="23" ht="18.75">
      <c r="C23" t="s">
        <v>353</v>
      </c>
    </row>
    <row r="24" spans="3:7" ht="18.75">
      <c r="C24" t="s">
        <v>354</v>
      </c>
      <c r="D24" s="15" t="s">
        <v>31</v>
      </c>
      <c r="E24" t="s">
        <v>355</v>
      </c>
      <c r="G24" t="s">
        <v>1</v>
      </c>
    </row>
    <row r="25" spans="3:7" ht="18.75">
      <c r="C25" t="s">
        <v>357</v>
      </c>
      <c r="D25" s="15" t="s">
        <v>31</v>
      </c>
      <c r="E25" t="s">
        <v>356</v>
      </c>
      <c r="G25" s="2" t="s">
        <v>5</v>
      </c>
    </row>
    <row r="26" spans="3:7" ht="18.75">
      <c r="C26" t="s">
        <v>358</v>
      </c>
      <c r="D26" s="15" t="s">
        <v>31</v>
      </c>
      <c r="E26" t="s">
        <v>359</v>
      </c>
      <c r="G26" t="s">
        <v>3</v>
      </c>
    </row>
    <row r="28" ht="18.75">
      <c r="C28" t="s">
        <v>360</v>
      </c>
    </row>
    <row r="29" spans="3:7" ht="18.75">
      <c r="C29" t="s">
        <v>189</v>
      </c>
      <c r="D29" s="15" t="s">
        <v>31</v>
      </c>
      <c r="E29" s="2" t="s">
        <v>361</v>
      </c>
      <c r="G29" t="s">
        <v>1</v>
      </c>
    </row>
    <row r="30" spans="3:7" ht="18.75">
      <c r="C30" t="s">
        <v>192</v>
      </c>
      <c r="D30" s="15" t="s">
        <v>31</v>
      </c>
      <c r="E30" s="2" t="s">
        <v>362</v>
      </c>
      <c r="G30" t="s">
        <v>1</v>
      </c>
    </row>
    <row r="32" ht="18.75">
      <c r="B32" t="s">
        <v>363</v>
      </c>
    </row>
    <row r="33" spans="3:9" ht="18.75">
      <c r="C33" t="s">
        <v>365</v>
      </c>
      <c r="I33" t="s">
        <v>370</v>
      </c>
    </row>
    <row r="34" ht="18.75">
      <c r="C34" t="s">
        <v>368</v>
      </c>
    </row>
    <row r="35" spans="3:7" ht="18.75">
      <c r="C35" t="s">
        <v>373</v>
      </c>
      <c r="D35" s="15" t="s">
        <v>31</v>
      </c>
      <c r="E35">
        <v>6</v>
      </c>
      <c r="G35" s="2" t="s">
        <v>6</v>
      </c>
    </row>
    <row r="36" spans="3:10" ht="18.75">
      <c r="C36" t="s">
        <v>371</v>
      </c>
      <c r="D36" s="15" t="s">
        <v>31</v>
      </c>
      <c r="E36">
        <v>69</v>
      </c>
      <c r="F36" t="s">
        <v>43</v>
      </c>
      <c r="G36" s="2" t="s">
        <v>372</v>
      </c>
      <c r="I36">
        <v>15</v>
      </c>
      <c r="J36" t="s">
        <v>43</v>
      </c>
    </row>
    <row r="37" spans="3:10" ht="18.75">
      <c r="C37" t="s">
        <v>200</v>
      </c>
      <c r="D37" s="15" t="s">
        <v>31</v>
      </c>
      <c r="E37" t="s">
        <v>369</v>
      </c>
      <c r="F37" s="20">
        <f>0.5*I37</f>
        <v>1200</v>
      </c>
      <c r="G37" t="s">
        <v>1</v>
      </c>
      <c r="H37" t="s">
        <v>502</v>
      </c>
      <c r="I37">
        <v>2400</v>
      </c>
      <c r="J37" t="s">
        <v>1</v>
      </c>
    </row>
    <row r="38" spans="3:7" ht="18.75">
      <c r="C38" t="s">
        <v>364</v>
      </c>
      <c r="D38" s="15" t="s">
        <v>31</v>
      </c>
      <c r="E38">
        <v>0.7</v>
      </c>
      <c r="G38" s="2" t="s">
        <v>6</v>
      </c>
    </row>
    <row r="39" spans="3:7" ht="18.75">
      <c r="C39" t="s">
        <v>15</v>
      </c>
      <c r="D39" s="15" t="s">
        <v>31</v>
      </c>
      <c r="E39">
        <v>12</v>
      </c>
      <c r="G39" s="2" t="s">
        <v>6</v>
      </c>
    </row>
    <row r="40" spans="3:8" ht="18.75">
      <c r="C40" t="s">
        <v>366</v>
      </c>
      <c r="D40" s="15" t="s">
        <v>31</v>
      </c>
      <c r="E40">
        <f>(E36+I36)*E35</f>
        <v>504</v>
      </c>
      <c r="G40" s="2" t="s">
        <v>5</v>
      </c>
      <c r="H40" s="2"/>
    </row>
    <row r="41" spans="3:7" ht="18.75">
      <c r="C41" t="s">
        <v>346</v>
      </c>
      <c r="D41" s="15" t="s">
        <v>31</v>
      </c>
      <c r="E41" t="s">
        <v>345</v>
      </c>
      <c r="G41" t="s">
        <v>127</v>
      </c>
    </row>
    <row r="42" spans="4:7" ht="18.75">
      <c r="D42" s="15" t="s">
        <v>31</v>
      </c>
      <c r="E42">
        <f>E40*(E39^2)/8</f>
        <v>9072</v>
      </c>
      <c r="G42" t="s">
        <v>127</v>
      </c>
    </row>
    <row r="43" spans="3:8" ht="18.75">
      <c r="C43" t="s">
        <v>129</v>
      </c>
      <c r="D43" s="15" t="s">
        <v>31</v>
      </c>
      <c r="E43" t="s">
        <v>348</v>
      </c>
      <c r="G43" s="2" t="s">
        <v>130</v>
      </c>
      <c r="H43" t="s">
        <v>367</v>
      </c>
    </row>
    <row r="44" spans="4:8" ht="18.75">
      <c r="D44" s="15" t="s">
        <v>31</v>
      </c>
      <c r="E44" s="17">
        <f>E42/F37/E38</f>
        <v>10.8</v>
      </c>
      <c r="G44" s="2" t="s">
        <v>130</v>
      </c>
      <c r="H44" t="s">
        <v>367</v>
      </c>
    </row>
    <row r="45" spans="2:8" ht="18.75">
      <c r="B45" t="s">
        <v>374</v>
      </c>
      <c r="C45" t="s">
        <v>375</v>
      </c>
      <c r="H45" t="s">
        <v>382</v>
      </c>
    </row>
    <row r="46" spans="3:8" ht="18.75">
      <c r="C46" t="s">
        <v>376</v>
      </c>
      <c r="D46" s="15" t="s">
        <v>31</v>
      </c>
      <c r="E46">
        <v>8.62</v>
      </c>
      <c r="G46" s="2" t="s">
        <v>130</v>
      </c>
      <c r="H46" t="s">
        <v>377</v>
      </c>
    </row>
    <row r="47" spans="3:7" ht="18.75">
      <c r="C47" t="s">
        <v>49</v>
      </c>
      <c r="D47" s="15" t="s">
        <v>31</v>
      </c>
      <c r="E47">
        <v>79.17</v>
      </c>
      <c r="G47" s="2" t="s">
        <v>157</v>
      </c>
    </row>
    <row r="48" spans="3:7" ht="18.75">
      <c r="C48" t="s">
        <v>378</v>
      </c>
      <c r="D48" s="15" t="s">
        <v>31</v>
      </c>
      <c r="E48">
        <f>E38*100/2</f>
        <v>35</v>
      </c>
      <c r="G48" s="2" t="s">
        <v>3</v>
      </c>
    </row>
    <row r="49" spans="3:7" ht="18.75">
      <c r="C49" t="s">
        <v>379</v>
      </c>
      <c r="D49" s="15" t="s">
        <v>31</v>
      </c>
      <c r="E49">
        <f>(E47+E46*E48^2)*2</f>
        <v>21277.339999999997</v>
      </c>
      <c r="G49" s="2" t="s">
        <v>157</v>
      </c>
    </row>
    <row r="50" spans="3:5" ht="18.75">
      <c r="C50" t="s">
        <v>350</v>
      </c>
      <c r="D50" s="15" t="s">
        <v>31</v>
      </c>
      <c r="E50" t="s">
        <v>312</v>
      </c>
    </row>
    <row r="51" spans="3:7" ht="18.75">
      <c r="C51" t="s">
        <v>350</v>
      </c>
      <c r="D51" s="15" t="s">
        <v>31</v>
      </c>
      <c r="E51" s="17">
        <f>5/384*(E40*E39*(E39*100)^3/E20/E49)</f>
        <v>3.0454934686384676</v>
      </c>
      <c r="G51" s="2" t="s">
        <v>3</v>
      </c>
    </row>
    <row r="52" spans="3:7" ht="18.75">
      <c r="C52">
        <v>1</v>
      </c>
      <c r="D52" t="s">
        <v>381</v>
      </c>
      <c r="E52" s="17">
        <f>E39*100/E51</f>
        <v>394.02481481481476</v>
      </c>
      <c r="F52" t="s">
        <v>383</v>
      </c>
      <c r="G52" s="2" t="s">
        <v>4</v>
      </c>
    </row>
    <row r="53" ht="18.75">
      <c r="E53" s="17"/>
    </row>
    <row r="54" spans="2:8" ht="18.75">
      <c r="B54" t="s">
        <v>374</v>
      </c>
      <c r="C54" t="s">
        <v>385</v>
      </c>
      <c r="H54" t="s">
        <v>384</v>
      </c>
    </row>
    <row r="55" spans="3:8" ht="18.75">
      <c r="C55" t="s">
        <v>129</v>
      </c>
      <c r="D55" s="15" t="s">
        <v>31</v>
      </c>
      <c r="E55">
        <v>4.19</v>
      </c>
      <c r="G55" s="2" t="s">
        <v>130</v>
      </c>
      <c r="H55" t="s">
        <v>386</v>
      </c>
    </row>
  </sheetData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</cp:lastModifiedBy>
  <cp:lastPrinted>2005-01-06T22:29:05Z</cp:lastPrinted>
  <dcterms:created xsi:type="dcterms:W3CDTF">2002-09-04T06:04:16Z</dcterms:created>
  <dcterms:modified xsi:type="dcterms:W3CDTF">2005-01-10T16:07:07Z</dcterms:modified>
  <cp:category/>
  <cp:version/>
  <cp:contentType/>
  <cp:contentStatus/>
</cp:coreProperties>
</file>