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tabRatio="615" firstSheet="4" activeTab="11"/>
  </bookViews>
  <sheets>
    <sheet name="BAR BENDING SCHEDULE" sheetId="1" r:id="rId1"/>
    <sheet name="Item" sheetId="2" r:id="rId2"/>
    <sheet name="FPSMKS" sheetId="3" r:id="rId3"/>
    <sheet name="Sheet1" sheetId="4" r:id="rId4"/>
    <sheet name="Cft" sheetId="5" r:id="rId5"/>
    <sheet name="Cum" sheetId="6" r:id="rId6"/>
    <sheet name="Steel" sheetId="7" r:id="rId7"/>
    <sheet name="Labour" sheetId="8" r:id="rId8"/>
    <sheet name="detail items" sheetId="9" r:id="rId9"/>
    <sheet name="steelbars" sheetId="10" r:id="rId10"/>
    <sheet name="1cft" sheetId="11" r:id="rId11"/>
    <sheet name="100cft" sheetId="12" r:id="rId12"/>
  </sheets>
  <externalReferences>
    <externalReference r:id="rId15"/>
  </externalReferences>
  <definedNames>
    <definedName name="_xlnm.Print_Area" localSheetId="11">'100cft'!$A$1:$I$45</definedName>
    <definedName name="_xlnm.Print_Area" localSheetId="10">'1cft'!$A$1:$I$42</definedName>
    <definedName name="_xlnm.Print_Area" localSheetId="0">'BAR BENDING SCHEDULE'!$B$4:$K$22</definedName>
    <definedName name="_xlnm.Print_Area" localSheetId="4">'Cft'!$A$1:$K$44</definedName>
    <definedName name="_xlnm.Print_Area" localSheetId="8">'detail items'!$A$1:$O$24</definedName>
    <definedName name="_xlnm.Print_Area" localSheetId="2">'FPSMKS'!$A$1:$I$43</definedName>
    <definedName name="_xlnm.Print_Area" localSheetId="9">'steelbars'!$A$1:$E$16</definedName>
    <definedName name="Weights">'[1]Bar Wts'!$A$2:$B$12</definedName>
  </definedNames>
  <calcPr fullCalcOnLoad="1"/>
</workbook>
</file>

<file path=xl/sharedStrings.xml><?xml version="1.0" encoding="utf-8"?>
<sst xmlns="http://schemas.openxmlformats.org/spreadsheetml/2006/main" count="719" uniqueCount="325">
  <si>
    <t>Qty</t>
  </si>
  <si>
    <t>Filling, watering and ramming earth under floor with surplus earth from foundation, etc</t>
  </si>
  <si>
    <t>Plain Cement Concrete incl. placing, compacting, finishing &amp; curing (Ratio 1:2:4)</t>
  </si>
  <si>
    <t>Plain Cement Concrete incl. placing, compacting, finishing &amp; curing (Ratio 1:3:6)</t>
  </si>
  <si>
    <t>Damp proof of cem. conc. 1:2:4 i/c bitumen coat, 1 layer polythene &amp; 1 coat bitumen (2" thick)</t>
  </si>
  <si>
    <t>Pacca brick work in foundation and plinth in Cement, sand mortar 1:6</t>
  </si>
  <si>
    <t>Extra labour for arch work in brick masonry, including labour for centring and decentring</t>
  </si>
  <si>
    <t>Supplying and filling sand under floor or plugging in wells</t>
  </si>
  <si>
    <t>Brick Ballast or shingle under floor</t>
  </si>
  <si>
    <t>Single layer of tiles 10"x5"x1.25" laid over 4" earth and 1" mud plaster on top of RC roof slab</t>
  </si>
  <si>
    <t>P&amp;L of polythene sheet on roof</t>
  </si>
  <si>
    <t xml:space="preserve">Khuras on roof 2'x2'x6" </t>
  </si>
  <si>
    <t>Bottom khuras of brick masonry in c/s mortar 1:6,4'x2'x4.5" over 3" cem. concrete 1:4:8</t>
  </si>
  <si>
    <t>Provide &amp; lay topping of concrete 1:2:4, incl. surface finishing &amp; dividing in panels : 2" thick</t>
  </si>
  <si>
    <t>Provide &amp; fix glass strip 1.5" wide for dividing the floors into panels : 5mm thick</t>
  </si>
  <si>
    <t>S.No</t>
  </si>
  <si>
    <t>Description</t>
  </si>
  <si>
    <t>Unit</t>
  </si>
  <si>
    <t>Cement (Bags)</t>
  </si>
  <si>
    <t>Sand (M3)</t>
  </si>
  <si>
    <t>Crush (M3)</t>
  </si>
  <si>
    <t>Bricks (No.)</t>
  </si>
  <si>
    <t>Skilled Labor (Day)</t>
  </si>
  <si>
    <t>Unskilled Labor (Day)</t>
  </si>
  <si>
    <t>Shuttering         (M2)</t>
  </si>
  <si>
    <t>Vibrator (Hour)</t>
  </si>
  <si>
    <t>Concrete Mixer (Hour)</t>
  </si>
  <si>
    <t>Steel (Ton)</t>
  </si>
  <si>
    <t>Brick Tiles (No)</t>
  </si>
  <si>
    <t xml:space="preserve"> Excavation in foundation of building, bridges etc complete : In ordinary soil</t>
  </si>
  <si>
    <t>M3</t>
  </si>
  <si>
    <t>Plain Cement Concrete incl. placing, compacting, finishing &amp; curing (Ratio 1:4:8) in foundation</t>
  </si>
  <si>
    <t>M2</t>
  </si>
  <si>
    <t xml:space="preserve">Pucca brick work in ground floor Cement, sand mortar 1:6 upto Lintel Level </t>
  </si>
  <si>
    <t xml:space="preserve">Pucca brick work in ground floor Cement, sand mortar 1:4 </t>
  </si>
  <si>
    <t>Extra labour for first floor (columns)</t>
  </si>
  <si>
    <t>Extra labour for first floor (B.B work)</t>
  </si>
  <si>
    <t>Extra labour for first floor (RCC)</t>
  </si>
  <si>
    <t>M</t>
  </si>
  <si>
    <t xml:space="preserve">Cement plaster 1:4 upto 20' height 1/2" thick   </t>
  </si>
  <si>
    <t xml:space="preserve">Cement pointing struck joints, on walls, upto 20' height : Ratio 1:3   </t>
  </si>
  <si>
    <t>Each</t>
  </si>
  <si>
    <t xml:space="preserve">Mosaic dado or skirting complete as per specs Using grey cement : 1/2" thick </t>
  </si>
  <si>
    <t xml:space="preserve">P.C.C(1:4:8) </t>
  </si>
  <si>
    <t xml:space="preserve">P.C.C(1:3:6) </t>
  </si>
  <si>
    <t xml:space="preserve">Qty </t>
  </si>
  <si>
    <t>Brick Cement Mortar(1:6)</t>
  </si>
  <si>
    <t>Brick Cement Mortar(1:4)</t>
  </si>
  <si>
    <t>Brick Cement Mortar(1:3)</t>
  </si>
  <si>
    <t>P.C.C/R.C.C(1:1.5:3)</t>
  </si>
  <si>
    <t xml:space="preserve">P.C.C/R.C.C(1:2:4) </t>
  </si>
  <si>
    <t>P.C.CR.C.C(1:1:2)</t>
  </si>
  <si>
    <t>D.P.C. 1:2:4 (2" thick)</t>
  </si>
  <si>
    <t>D.P.C. 1:1.5:3( 1" thick/2.5cm)</t>
  </si>
  <si>
    <t xml:space="preserve">MAIN BUILDING </t>
  </si>
  <si>
    <t>Cft</t>
  </si>
  <si>
    <t>Sft</t>
  </si>
  <si>
    <t xml:space="preserve">Cement plaster(1:5)1/2" thick(12mm)  </t>
  </si>
  <si>
    <t xml:space="preserve">Cement plaster(1:4)1/2" thick (12mm)  </t>
  </si>
  <si>
    <t xml:space="preserve">Cement plaster(1:2)1/2" thick(12mm) </t>
  </si>
  <si>
    <t>Cement plaster(1:3)1/2" thick(12mm)</t>
  </si>
  <si>
    <t xml:space="preserve">Cement plaster (1:6) 3/4" thick(20mm)   </t>
  </si>
  <si>
    <t xml:space="preserve">Cement plaster(1:5)3/4" thick(20mm)   </t>
  </si>
  <si>
    <t xml:space="preserve">Cement plaster(1:4)3/4" thick(20mm).   </t>
  </si>
  <si>
    <t xml:space="preserve">Cement plaster(1:3)1/2" thick(20mm)  </t>
  </si>
  <si>
    <t xml:space="preserve">Cement plaster(1:2)3/4" thick(20mm)   </t>
  </si>
  <si>
    <t xml:space="preserve">Cement plaster (1:6) 1/2" thick(12mm) </t>
  </si>
  <si>
    <t>Brick Cement Mortar(1:5)</t>
  </si>
  <si>
    <t>Ceiling plaster(1:3)1/2" thick(12mm)</t>
  </si>
  <si>
    <t>Ceiling plaster(1:4)1/2" thick(12mm)</t>
  </si>
  <si>
    <t>Ceiling plaster(1:3)1/4" thick(6mm)</t>
  </si>
  <si>
    <t>Ceiling plaster(1:4)1/4" thick(6mm)</t>
  </si>
  <si>
    <t>Cement pointing (1:3)</t>
  </si>
  <si>
    <t>Cement pointing (1:2)</t>
  </si>
  <si>
    <t>Sand (Cft)</t>
  </si>
  <si>
    <t>Crush (Cft)</t>
  </si>
  <si>
    <t>Sand (Cft)/        M3</t>
  </si>
  <si>
    <t>Crush (Cft)/        M3</t>
  </si>
  <si>
    <t>For Cft</t>
  </si>
  <si>
    <t>For M3</t>
  </si>
  <si>
    <t>For CFt</t>
  </si>
  <si>
    <t>Bricks (No)</t>
  </si>
  <si>
    <t xml:space="preserve">Sand       </t>
  </si>
  <si>
    <t>Cft/ M3</t>
  </si>
  <si>
    <t>Sand(Cft)</t>
  </si>
  <si>
    <t>Burnt Brick (Cement Sand Mortor)</t>
  </si>
  <si>
    <t>RCC/PCC</t>
  </si>
  <si>
    <t>Skilled Labor(No)</t>
  </si>
  <si>
    <t>Unskilled Labor(No)</t>
  </si>
  <si>
    <t>Reinfr.Steel (Def.bars) in RCCSlab/Lintels(1%)</t>
  </si>
  <si>
    <t>A</t>
  </si>
  <si>
    <t>B</t>
  </si>
  <si>
    <t>C</t>
  </si>
  <si>
    <t>D</t>
  </si>
  <si>
    <t>Steel(Ton)</t>
  </si>
  <si>
    <t>Plastering/Pointing</t>
  </si>
  <si>
    <t>Burnt Brick(CSM)</t>
  </si>
  <si>
    <t>Damp Proof Course(DPC)</t>
  </si>
  <si>
    <t>Plastering(Cement Sand)</t>
  </si>
  <si>
    <t>E</t>
  </si>
  <si>
    <t>Pointing</t>
  </si>
  <si>
    <t>Requirment of Material and Labor</t>
  </si>
  <si>
    <t>Requirment of Material(in MKS And FPS System)</t>
  </si>
  <si>
    <t>Requirment of Material and Labor(MKS)</t>
  </si>
  <si>
    <t>RCC (1:2:4) in Slab, Lintel and shades</t>
  </si>
  <si>
    <t>Flooring</t>
  </si>
  <si>
    <t>Fpr Cft</t>
  </si>
  <si>
    <t>Sand</t>
  </si>
  <si>
    <t xml:space="preserve">Sand </t>
  </si>
  <si>
    <t xml:space="preserve">Crush </t>
  </si>
  <si>
    <t>2'(5cm)Thick PCC Floor (1:2:4)</t>
  </si>
  <si>
    <t>Brick Tiles(10"x5"x1.25")</t>
  </si>
  <si>
    <t>F</t>
  </si>
  <si>
    <t>Bar#</t>
  </si>
  <si>
    <t>Dia in</t>
  </si>
  <si>
    <t>X-Sec Area</t>
  </si>
  <si>
    <t>Perimeter in</t>
  </si>
  <si>
    <t>Meters/Ton</t>
  </si>
  <si>
    <t>Foot/Ton</t>
  </si>
  <si>
    <t>3/8=0.375</t>
  </si>
  <si>
    <t>1/2=0.5</t>
  </si>
  <si>
    <t>5/8=0.625</t>
  </si>
  <si>
    <t>6/8=0.75</t>
  </si>
  <si>
    <t>7/8=0.875</t>
  </si>
  <si>
    <t>8/8=1</t>
  </si>
  <si>
    <t>10/8=1.270</t>
  </si>
  <si>
    <t>9/8=1.128</t>
  </si>
  <si>
    <t>11/8=1.410</t>
  </si>
  <si>
    <t>14/8=1.693</t>
  </si>
  <si>
    <t>18/8=2.257</t>
  </si>
  <si>
    <t>Unit Weight Kg/m</t>
  </si>
  <si>
    <t>Dia mm</t>
  </si>
  <si>
    <t>Unit Weight Ib/ft</t>
  </si>
  <si>
    <t>V dry=1.54x V wet</t>
  </si>
  <si>
    <t xml:space="preserve">   V dry=1.54x V wet</t>
  </si>
  <si>
    <t>1Cft Cantain 20% Wet Vol of Mortor(Vdry=1.54xVol wet)                                                                                                                                         and Volume of One Brick=0.0623Cft=0.00179M3(Actual)&amp;0.07031Cft=0.00199M3(Nominal)</t>
  </si>
  <si>
    <t>AreaxThickness gives Volume and Vdry =1.54V wet</t>
  </si>
  <si>
    <t>AreaxThickness gives Volume and Vdry =1.20x1.30V wet</t>
  </si>
  <si>
    <t>2"(5cm)Thick PCC Floor (1:2:4)</t>
  </si>
  <si>
    <t>4" Thick PCC(1:4:8)</t>
  </si>
  <si>
    <t>`</t>
  </si>
  <si>
    <t>Bricks(Tiles)</t>
  </si>
  <si>
    <t xml:space="preserve"> # 3</t>
  </si>
  <si>
    <t xml:space="preserve"> # 4</t>
  </si>
  <si>
    <t xml:space="preserve"> # 5</t>
  </si>
  <si>
    <t xml:space="preserve"> # 6</t>
  </si>
  <si>
    <t xml:space="preserve"> # 7</t>
  </si>
  <si>
    <t xml:space="preserve"> # 8</t>
  </si>
  <si>
    <t xml:space="preserve"> # 9</t>
  </si>
  <si>
    <t xml:space="preserve"> # 11</t>
  </si>
  <si>
    <t xml:space="preserve"> # 14</t>
  </si>
  <si>
    <t>Bar Bending Schedule</t>
  </si>
  <si>
    <t>Section length</t>
  </si>
  <si>
    <t>Description of Bar</t>
  </si>
  <si>
    <t>Bar #</t>
  </si>
  <si>
    <t>Spacing
 " c/c</t>
  </si>
  <si>
    <t># of bars</t>
  </si>
  <si>
    <t>Nos</t>
  </si>
  <si>
    <t>Cut length (ft)</t>
  </si>
  <si>
    <t>Total Length (ft)</t>
  </si>
  <si>
    <t>Bending position</t>
  </si>
  <si>
    <t>Wt lb/ft</t>
  </si>
  <si>
    <t>Wt (lb)</t>
  </si>
  <si>
    <t>DPC</t>
  </si>
  <si>
    <t>Particular of Item</t>
  </si>
  <si>
    <t>Qty per day</t>
  </si>
  <si>
    <t>Skilled Labour</t>
  </si>
  <si>
    <t>Un-Skilled Labour</t>
  </si>
  <si>
    <t>Excavation In Ordinary Soil</t>
  </si>
  <si>
    <t>200Cft/5.66M3</t>
  </si>
  <si>
    <t>Excavation In Hard Soil</t>
  </si>
  <si>
    <t>BB Work in Cement Mortar in Foundation and Plinth</t>
  </si>
  <si>
    <t>100Cft/2.83M3</t>
  </si>
  <si>
    <t>I Mason</t>
  </si>
  <si>
    <t>BB work in Super Structure</t>
  </si>
  <si>
    <t>70Cft/2m3</t>
  </si>
  <si>
    <t>R.B Work</t>
  </si>
  <si>
    <t>Plastering</t>
  </si>
  <si>
    <t>200Sft/20M2</t>
  </si>
  <si>
    <t>300Sft/28M3</t>
  </si>
  <si>
    <t>Floor Topping</t>
  </si>
  <si>
    <t>100Sft/2.83M3</t>
  </si>
  <si>
    <t>PCC</t>
  </si>
  <si>
    <t>RCC</t>
  </si>
  <si>
    <t>Shuttering</t>
  </si>
  <si>
    <t>Filling/Campacting of Earth under Floor</t>
  </si>
  <si>
    <t>300Cft</t>
  </si>
  <si>
    <t>Sand Cushion Under floor</t>
  </si>
  <si>
    <t>Brick Ballast under floor</t>
  </si>
  <si>
    <t>Brick laid by Mason</t>
  </si>
  <si>
    <t>Steel Fixing</t>
  </si>
  <si>
    <t>Paint Enamal</t>
  </si>
  <si>
    <t>Paint Emulsion</t>
  </si>
  <si>
    <t>ITEM WISE BREAKDOWN FOR ANY QAUNTITY</t>
  </si>
  <si>
    <t>S.NO</t>
  </si>
  <si>
    <t>Discripation of items</t>
  </si>
  <si>
    <t>Cement (bags)</t>
  </si>
  <si>
    <t>Sand      (cft)</t>
  </si>
  <si>
    <t>Crush       (cft)</t>
  </si>
  <si>
    <t>Bricks       (No)</t>
  </si>
  <si>
    <t>Steel      (ton)</t>
  </si>
  <si>
    <t>Tiles        (No)</t>
  </si>
  <si>
    <t>Mud       (cft)</t>
  </si>
  <si>
    <t>Surkhi       (kg)</t>
  </si>
  <si>
    <t>Polthyne (sheet) sft</t>
  </si>
  <si>
    <t>Bitumen     (kg)</t>
  </si>
  <si>
    <t>Skilled Labor</t>
  </si>
  <si>
    <t>Unskilled Labor</t>
  </si>
  <si>
    <t>P C C (1:4:8)</t>
  </si>
  <si>
    <t>P C C (1:2:4)</t>
  </si>
  <si>
    <t>Bricks works(1:4CSM)</t>
  </si>
  <si>
    <t>Bricks works(1:3CSM)</t>
  </si>
  <si>
    <t>Bricks works(1:6CSM)</t>
  </si>
  <si>
    <t>Steel 1/2" dia</t>
  </si>
  <si>
    <t>Steel 3/8" dia</t>
  </si>
  <si>
    <t>Brick Tiles(10"X5"X1.25")</t>
  </si>
  <si>
    <t>Bitumens 10/20 Grade</t>
  </si>
  <si>
    <t>Polthyene Sheet 100Gauge</t>
  </si>
  <si>
    <t>DPC (1:2:4)</t>
  </si>
  <si>
    <t>Mud</t>
  </si>
  <si>
    <t>Cement Plaster 1/2" thick(1:3csm)</t>
  </si>
  <si>
    <t>Cement Plaster 1/2" thick(1:6 csm)</t>
  </si>
  <si>
    <t>Coping (1:3:6)</t>
  </si>
  <si>
    <t>Floor PCC1:2:4</t>
  </si>
  <si>
    <t>Struck pointing (1:3 csm)</t>
  </si>
  <si>
    <t>1/2" Skirting (1:2 csm)</t>
  </si>
  <si>
    <t>1 Mazdoor</t>
  </si>
  <si>
    <t>Brick Cement Mortar(1:7)</t>
  </si>
  <si>
    <t>Brick Cement Mortar(1:8)</t>
  </si>
  <si>
    <t>Brick Cement Mortar(1:10)</t>
  </si>
  <si>
    <t>Brick Cement Mortar(1:12)</t>
  </si>
  <si>
    <t>1ft</t>
  </si>
  <si>
    <t>3.52 Radday</t>
  </si>
  <si>
    <t>9" Wall</t>
  </si>
  <si>
    <t>length 1'</t>
  </si>
  <si>
    <t>1 Radda</t>
  </si>
  <si>
    <t>2.90 Bricks</t>
  </si>
  <si>
    <t>4.5" Wall</t>
  </si>
  <si>
    <t>13.5"</t>
  </si>
  <si>
    <t>18" Wall</t>
  </si>
  <si>
    <t>22.5" Wall</t>
  </si>
  <si>
    <t>1.45 Bricks</t>
  </si>
  <si>
    <t>4.35 Bricks</t>
  </si>
  <si>
    <t>5.8 Bricks</t>
  </si>
  <si>
    <t>7.25 Bricks</t>
  </si>
  <si>
    <t>2ft</t>
  </si>
  <si>
    <t>7 Radday</t>
  </si>
  <si>
    <t>2.5ft</t>
  </si>
  <si>
    <t>9 Radday</t>
  </si>
  <si>
    <t>3ft</t>
  </si>
  <si>
    <t>11 Radday</t>
  </si>
  <si>
    <t>3.5ft</t>
  </si>
  <si>
    <t>12 Radday</t>
  </si>
  <si>
    <t>4ft</t>
  </si>
  <si>
    <t>14 Radday</t>
  </si>
  <si>
    <t>4.5ft</t>
  </si>
  <si>
    <t>16 Radday</t>
  </si>
  <si>
    <t>5ft</t>
  </si>
  <si>
    <t>18 Radday</t>
  </si>
  <si>
    <t>5.5ft</t>
  </si>
  <si>
    <t>19 Radday</t>
  </si>
  <si>
    <t>6ft</t>
  </si>
  <si>
    <t>21 Radday</t>
  </si>
  <si>
    <t>6.5ft</t>
  </si>
  <si>
    <t>23Radday</t>
  </si>
  <si>
    <t>7ft</t>
  </si>
  <si>
    <t>25Radday</t>
  </si>
  <si>
    <t>7.5ft</t>
  </si>
  <si>
    <t>27Radday</t>
  </si>
  <si>
    <t>8ft</t>
  </si>
  <si>
    <t>28Radday</t>
  </si>
  <si>
    <t>8.5ft</t>
  </si>
  <si>
    <t>30 Radday</t>
  </si>
  <si>
    <t>9ft</t>
  </si>
  <si>
    <t>32 Radday</t>
  </si>
  <si>
    <t>9.5ft</t>
  </si>
  <si>
    <t>34Radday</t>
  </si>
  <si>
    <t>10ft</t>
  </si>
  <si>
    <t>35Radday</t>
  </si>
  <si>
    <t>10.5ft</t>
  </si>
  <si>
    <t>37Radday</t>
  </si>
  <si>
    <t>11ft</t>
  </si>
  <si>
    <t>39Radday</t>
  </si>
  <si>
    <t>12ft</t>
  </si>
  <si>
    <t>13ft</t>
  </si>
  <si>
    <t>46Radday</t>
  </si>
  <si>
    <t>43Radday</t>
  </si>
  <si>
    <t>14ft</t>
  </si>
  <si>
    <t>15ft</t>
  </si>
  <si>
    <t>50Radday</t>
  </si>
  <si>
    <t>53Radday</t>
  </si>
  <si>
    <t>Convert wt Ib/ft to Kg/m(Wt &lt;Kg/m&gt;=1.49xWt&lt;Ib/ft&gt;) and (Wt&lt;Ib/ft=0.672xWt&lt;Kg/m&gt;)</t>
  </si>
  <si>
    <t>Unit Weight lb/ft</t>
  </si>
  <si>
    <t>Unit Weight Kg/ft</t>
  </si>
  <si>
    <t>Bar Weight (Imperial Sizes)</t>
  </si>
  <si>
    <t>Bar Weight (MetricSizes)</t>
  </si>
  <si>
    <t>1Kg=2.204lb  1000Kg=1 ton 2204lb=1 ton</t>
  </si>
  <si>
    <t>Wt(Ib/ft)=(DiaxDia)in^2x2.671 Wt(Kg/m)=((DiaxDia)in^2x0.0061654)                                                                                   Unit wt=490Ib/Cft=7852.41Kg/M3=222.32Kg/ft, Wt(Kg/ft)=(diaxdia)in^2X1.212</t>
  </si>
  <si>
    <t>Dia (in)</t>
  </si>
  <si>
    <t>Wt(lb/ft)=(diaxdia)in2X2.671                            Wt(Kg/ft)=(diaxdia)in2X1.212</t>
  </si>
  <si>
    <t>Unit weight of steel =490lb/ ft 3=222.32Kg/ft 3=7852.41Kg/m3</t>
  </si>
  <si>
    <t>1Cft Cantain 20% Wet Vol of Mortor(Vdry=1.54xVol wet)                                                                                                                                         and Volume of One Brick=0.0623Cft=0.00179M3(Actual)&amp;0.07031Cft</t>
  </si>
  <si>
    <t>P.C.C and R.C.C (1:2:4) with 1% steel</t>
  </si>
  <si>
    <t xml:space="preserve">Requirment of Material </t>
  </si>
  <si>
    <t>Bricks Lintel 5"(.41667Cft),steel spacing 12"c/c</t>
  </si>
  <si>
    <t>.606 Kg</t>
  </si>
  <si>
    <t>Bricks Tiles</t>
  </si>
  <si>
    <t>Skirting 1/2"</t>
  </si>
  <si>
    <t>Pointing 1:3 CSM</t>
  </si>
  <si>
    <t xml:space="preserve">1Kg=2.204lb 
1000Kg=1 ton 
2204lb=1 ton
Unit Wt of steel =490 lb/ft3
                         =222.32 Kg/ft3
                         =7852.41 Kg/m3
Wt(lb/ft)=(diaxDia)in2 X 2.671
wt(Kg/ft)=(DiaxDia)in2 X1.212
Wt(Kg/m)=1.49xWt(lb/ft)
Wt(lb/ft)=.673XWt(Kg/m)
</t>
  </si>
  <si>
    <t>2 Mazdoor</t>
  </si>
  <si>
    <t>Brick laid by Mason in foundation</t>
  </si>
  <si>
    <t>1350 Nos</t>
  </si>
  <si>
    <t>1000 Nos</t>
  </si>
  <si>
    <t>1 ton</t>
  </si>
  <si>
    <t>Electrification</t>
  </si>
  <si>
    <t>2 steel fixer</t>
  </si>
  <si>
    <t>60.6 Kg</t>
  </si>
  <si>
    <t>RCC Slab 5" thick(1:2:4) with 1% steel</t>
  </si>
  <si>
    <t>.926 Kg</t>
  </si>
  <si>
    <t>92.6 Kg</t>
  </si>
  <si>
    <t>1Kg=2.204lb 
1000Kg=1 ton 
2204lb=1 ton
Unit Wt of steel =490 lb/ft3
                         =222.32 Kg/ft3  = 7852.41Kg/m3
Wt(lb/ft)=(diaxDia)in2 X 2.671
wt(Kg/ft)=(DiaxDia)in2 X1.212
Wt(Kg/m)=1.49xWt(lb/ft)
Wt(lb/ft)=.673XWt(Kg
# 3 ----- 40'----- 146.51 Bars----- 1 Ton
# 4 ----- 40'----- 82.48   Bars----  1 Ton
# 5 ----- 40'----- 52.85   Bars----- 1 Ton
# 6 ----- 40'----- 36.68   Bars----  1 Ton
# 7 ----- 40'----- 26.95   Bars----- 1 Ton
# 8 ----- 40'----- 20.63   Bars----  1 Ton
# 9 ----- 40'----- 16.20   Bars----  1 Ton
# 10 ----- 40'----- 12.80   Bars----  1 Ton
# 11 ----- 40'----- 10.37   Bars----  1 Ton
# 14 ----- 40'-----  7.20   Bars----   1 Ton
# 18 ----- 40'----- 4.051   Bars----  1 Ton</t>
  </si>
  <si>
    <t>Misc.</t>
  </si>
  <si>
    <t>Paint Enamel</t>
  </si>
  <si>
    <t>Bitumen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</si>
</sst>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00_);_(* \(#,##0.000\);_(* &quot;-&quot;??_);_(@_)"/>
    <numFmt numFmtId="173" formatCode="0.000"/>
    <numFmt numFmtId="174" formatCode="0.0000"/>
    <numFmt numFmtId="175" formatCode="#,##0.000"/>
    <numFmt numFmtId="176" formatCode="0.0"/>
    <numFmt numFmtId="177" formatCode="0.00000"/>
    <numFmt numFmtId="178" formatCode="0.000000"/>
    <numFmt numFmtId="179" formatCode="0.000\ &quot;tonnes&quot;"/>
    <numFmt numFmtId="180" formatCode="0.00\ &quot;ft&quot;"/>
    <numFmt numFmtId="181" formatCode="0\ &quot;in&quot;"/>
    <numFmt numFmtId="182" formatCode="0\ &quot;lbs&quot;"/>
    <numFmt numFmtId="183" formatCode="0.0000000"/>
    <numFmt numFmtId="184" formatCode="0.0E+00"/>
    <numFmt numFmtId="185" formatCode="0E+00"/>
    <numFmt numFmtId="186" formatCode="[$-409]dddd\,\ mmmm\ dd\,\ yyyy"/>
    <numFmt numFmtId="187" formatCode="0.00000000"/>
    <numFmt numFmtId="188" formatCode="0.000000000"/>
    <numFmt numFmtId="189" formatCode="0.0000000000"/>
    <numFmt numFmtId="190" formatCode="_-* #,##0.000_-;\-* #,##0.000_-;_-* &quot;-&quot;??_-;_-@_-"/>
    <numFmt numFmtId="191" formatCode="_-* #,##0.0000_-;\-* #,##0.0000_-;_-* &quot;-&quot;??_-;_-@_-"/>
    <numFmt numFmtId="192" formatCode="_-* #,##0.00000_-;\-* #,##0.00000_-;_-* &quot;-&quot;??_-;_-@_-"/>
    <numFmt numFmtId="193" formatCode="_-* #,##0.000000_-;\-* #,##0.000000_-;_-* &quot;-&quot;??_-;_-@_-"/>
    <numFmt numFmtId="194" formatCode="_-* #,##0.0000000_-;\-* #,##0.0000000_-;_-* &quot;-&quot;??_-;_-@_-"/>
    <numFmt numFmtId="195" formatCode="_-* #,##0.0_-;\-* #,##0.0_-;_-* &quot;-&quot;??_-;_-@_-"/>
    <numFmt numFmtId="196" formatCode="_-* #,##0_-;\-* #,##0_-;_-* &quot;-&quot;??_-;_-@_-"/>
    <numFmt numFmtId="197" formatCode="0&quot;Cft&quot;"/>
    <numFmt numFmtId="198" formatCode="0&quot;Sft&quot;"/>
    <numFmt numFmtId="199" formatCode="0&quot;Bags&quot;"/>
    <numFmt numFmtId="200" formatCode="0\ &quot;Bags&quot;"/>
    <numFmt numFmtId="201" formatCode="0\ &quot;Cft&quot;"/>
    <numFmt numFmtId="202" formatCode="0\ &quot; Kg&quot;"/>
  </numFmts>
  <fonts count="2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sz val="10"/>
      <color indexed="10"/>
      <name val="Arial"/>
      <family val="0"/>
    </font>
    <font>
      <sz val="10"/>
      <color indexed="20"/>
      <name val="Arial"/>
      <family val="0"/>
    </font>
    <font>
      <sz val="10"/>
      <color indexed="12"/>
      <name val="Arial"/>
      <family val="0"/>
    </font>
    <font>
      <b/>
      <sz val="12"/>
      <color indexed="8"/>
      <name val="Arial"/>
      <family val="2"/>
    </font>
    <font>
      <b/>
      <sz val="12"/>
      <color indexed="20"/>
      <name val="Arial"/>
      <family val="0"/>
    </font>
    <font>
      <b/>
      <sz val="12"/>
      <color indexed="12"/>
      <name val="Arial"/>
      <family val="0"/>
    </font>
    <font>
      <b/>
      <sz val="12"/>
      <color indexed="57"/>
      <name val="Arial"/>
      <family val="0"/>
    </font>
    <font>
      <sz val="12"/>
      <color indexed="14"/>
      <name val="Arial"/>
      <family val="2"/>
    </font>
    <font>
      <sz val="12"/>
      <color indexed="20"/>
      <name val="Arial"/>
      <family val="0"/>
    </font>
    <font>
      <sz val="12"/>
      <color indexed="12"/>
      <name val="Arial"/>
      <family val="0"/>
    </font>
    <font>
      <sz val="12"/>
      <color indexed="57"/>
      <name val="Arial"/>
      <family val="0"/>
    </font>
    <font>
      <sz val="12"/>
      <color indexed="10"/>
      <name val="Arial"/>
      <family val="0"/>
    </font>
    <font>
      <sz val="10"/>
      <color indexed="57"/>
      <name val="Arial"/>
      <family val="0"/>
    </font>
    <font>
      <sz val="8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128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double"/>
      <right style="medium"/>
      <top style="medium"/>
      <bottom style="double"/>
    </border>
    <border>
      <left style="double"/>
      <right style="double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double"/>
      <top style="double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 style="double"/>
      <top style="double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double"/>
    </border>
    <border>
      <left style="thin"/>
      <right style="medium"/>
      <top>
        <color indexed="63"/>
      </top>
      <bottom style="thin"/>
    </border>
    <border>
      <left style="medium"/>
      <right style="thin"/>
      <top style="double"/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medium"/>
      <top style="thin"/>
      <bottom style="medium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double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center" vertical="center" wrapText="1"/>
    </xf>
    <xf numFmtId="2" fontId="0" fillId="2" borderId="5" xfId="0" applyNumberFormat="1" applyFont="1" applyFill="1" applyBorder="1" applyAlignment="1">
      <alignment horizontal="center" vertical="center" wrapText="1"/>
    </xf>
    <xf numFmtId="2" fontId="0" fillId="2" borderId="5" xfId="0" applyNumberFormat="1" applyFont="1" applyFill="1" applyBorder="1" applyAlignment="1">
      <alignment horizontal="center" vertical="center"/>
    </xf>
    <xf numFmtId="2" fontId="0" fillId="2" borderId="6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horizontal="center" vertical="center" wrapText="1"/>
    </xf>
    <xf numFmtId="2" fontId="0" fillId="2" borderId="8" xfId="0" applyNumberFormat="1" applyFont="1" applyFill="1" applyBorder="1" applyAlignment="1">
      <alignment horizontal="center" vertical="center" wrapText="1"/>
    </xf>
    <xf numFmtId="2" fontId="0" fillId="2" borderId="8" xfId="0" applyNumberFormat="1" applyFont="1" applyFill="1" applyBorder="1" applyAlignment="1">
      <alignment horizontal="center" vertical="center"/>
    </xf>
    <xf numFmtId="2" fontId="0" fillId="2" borderId="9" xfId="0" applyNumberFormat="1" applyFont="1" applyFill="1" applyBorder="1" applyAlignment="1">
      <alignment horizontal="center" vertical="center"/>
    </xf>
    <xf numFmtId="0" fontId="0" fillId="2" borderId="8" xfId="0" applyFill="1" applyBorder="1" applyAlignment="1">
      <alignment vertical="top" wrapText="1"/>
    </xf>
    <xf numFmtId="0" fontId="0" fillId="0" borderId="8" xfId="0" applyFont="1" applyFill="1" applyBorder="1" applyAlignment="1">
      <alignment horizontal="left" vertical="center" wrapText="1"/>
    </xf>
    <xf numFmtId="1" fontId="0" fillId="2" borderId="9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 wrapText="1"/>
    </xf>
    <xf numFmtId="2" fontId="6" fillId="2" borderId="8" xfId="0" applyNumberFormat="1" applyFont="1" applyFill="1" applyBorder="1" applyAlignment="1">
      <alignment horizontal="center" vertical="center" wrapText="1"/>
    </xf>
    <xf numFmtId="2" fontId="6" fillId="2" borderId="8" xfId="0" applyNumberFormat="1" applyFont="1" applyFill="1" applyBorder="1" applyAlignment="1">
      <alignment horizontal="center" vertical="center"/>
    </xf>
    <xf numFmtId="173" fontId="6" fillId="2" borderId="8" xfId="0" applyNumberFormat="1" applyFont="1" applyFill="1" applyBorder="1" applyAlignment="1">
      <alignment horizontal="center" vertical="center"/>
    </xf>
    <xf numFmtId="1" fontId="6" fillId="2" borderId="8" xfId="0" applyNumberFormat="1" applyFont="1" applyFill="1" applyBorder="1" applyAlignment="1">
      <alignment horizontal="center" vertical="center"/>
    </xf>
    <xf numFmtId="174" fontId="6" fillId="2" borderId="8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2" fontId="6" fillId="2" borderId="10" xfId="0" applyNumberFormat="1" applyFont="1" applyFill="1" applyBorder="1" applyAlignment="1">
      <alignment horizontal="center" vertical="center" wrapText="1"/>
    </xf>
    <xf numFmtId="173" fontId="6" fillId="2" borderId="10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2" fontId="6" fillId="2" borderId="15" xfId="0" applyNumberFormat="1" applyFont="1" applyFill="1" applyBorder="1" applyAlignment="1">
      <alignment horizontal="center" vertical="center"/>
    </xf>
    <xf numFmtId="2" fontId="6" fillId="2" borderId="16" xfId="0" applyNumberFormat="1" applyFont="1" applyFill="1" applyBorder="1" applyAlignment="1">
      <alignment horizontal="center" vertical="center"/>
    </xf>
    <xf numFmtId="2" fontId="6" fillId="2" borderId="17" xfId="0" applyNumberFormat="1" applyFont="1" applyFill="1" applyBorder="1" applyAlignment="1">
      <alignment horizontal="center" vertical="center" wrapText="1"/>
    </xf>
    <xf numFmtId="2" fontId="6" fillId="2" borderId="18" xfId="0" applyNumberFormat="1" applyFont="1" applyFill="1" applyBorder="1" applyAlignment="1">
      <alignment horizontal="center" vertical="center" wrapText="1"/>
    </xf>
    <xf numFmtId="2" fontId="6" fillId="2" borderId="19" xfId="0" applyNumberFormat="1" applyFont="1" applyFill="1" applyBorder="1" applyAlignment="1">
      <alignment horizontal="center" vertical="center" wrapText="1"/>
    </xf>
    <xf numFmtId="2" fontId="6" fillId="2" borderId="20" xfId="0" applyNumberFormat="1" applyFont="1" applyFill="1" applyBorder="1" applyAlignment="1">
      <alignment horizontal="center" vertical="center"/>
    </xf>
    <xf numFmtId="1" fontId="6" fillId="2" borderId="21" xfId="0" applyNumberFormat="1" applyFont="1" applyFill="1" applyBorder="1" applyAlignment="1">
      <alignment horizontal="center" vertical="center"/>
    </xf>
    <xf numFmtId="2" fontId="6" fillId="2" borderId="22" xfId="0" applyNumberFormat="1" applyFont="1" applyFill="1" applyBorder="1" applyAlignment="1">
      <alignment horizontal="center" vertical="center"/>
    </xf>
    <xf numFmtId="1" fontId="6" fillId="2" borderId="23" xfId="0" applyNumberFormat="1" applyFont="1" applyFill="1" applyBorder="1" applyAlignment="1">
      <alignment horizontal="center" vertical="center"/>
    </xf>
    <xf numFmtId="176" fontId="6" fillId="2" borderId="23" xfId="0" applyNumberFormat="1" applyFont="1" applyFill="1" applyBorder="1" applyAlignment="1">
      <alignment horizontal="center" vertical="center"/>
    </xf>
    <xf numFmtId="2" fontId="6" fillId="2" borderId="24" xfId="0" applyNumberFormat="1" applyFont="1" applyFill="1" applyBorder="1" applyAlignment="1">
      <alignment horizontal="center" vertical="center"/>
    </xf>
    <xf numFmtId="1" fontId="6" fillId="2" borderId="25" xfId="0" applyNumberFormat="1" applyFont="1" applyFill="1" applyBorder="1" applyAlignment="1">
      <alignment horizontal="center" vertical="center"/>
    </xf>
    <xf numFmtId="2" fontId="6" fillId="2" borderId="26" xfId="0" applyNumberFormat="1" applyFont="1" applyFill="1" applyBorder="1" applyAlignment="1">
      <alignment horizontal="center" vertical="center"/>
    </xf>
    <xf numFmtId="2" fontId="6" fillId="2" borderId="27" xfId="0" applyNumberFormat="1" applyFont="1" applyFill="1" applyBorder="1" applyAlignment="1">
      <alignment horizontal="center" vertical="center"/>
    </xf>
    <xf numFmtId="2" fontId="6" fillId="2" borderId="28" xfId="0" applyNumberFormat="1" applyFont="1" applyFill="1" applyBorder="1" applyAlignment="1">
      <alignment horizontal="center" vertical="center"/>
    </xf>
    <xf numFmtId="173" fontId="6" fillId="2" borderId="29" xfId="0" applyNumberFormat="1" applyFont="1" applyFill="1" applyBorder="1" applyAlignment="1">
      <alignment horizontal="center" vertical="center"/>
    </xf>
    <xf numFmtId="2" fontId="6" fillId="2" borderId="30" xfId="0" applyNumberFormat="1" applyFont="1" applyFill="1" applyBorder="1" applyAlignment="1">
      <alignment horizontal="center" vertical="center"/>
    </xf>
    <xf numFmtId="2" fontId="6" fillId="2" borderId="31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vertical="center" wrapText="1"/>
    </xf>
    <xf numFmtId="0" fontId="1" fillId="2" borderId="26" xfId="0" applyFont="1" applyFill="1" applyBorder="1" applyAlignment="1">
      <alignment vertical="center" wrapText="1"/>
    </xf>
    <xf numFmtId="2" fontId="6" fillId="2" borderId="32" xfId="0" applyNumberFormat="1" applyFont="1" applyFill="1" applyBorder="1" applyAlignment="1">
      <alignment horizontal="center" vertical="center"/>
    </xf>
    <xf numFmtId="2" fontId="6" fillId="2" borderId="14" xfId="0" applyNumberFormat="1" applyFont="1" applyFill="1" applyBorder="1" applyAlignment="1">
      <alignment horizontal="center" vertical="center" wrapText="1"/>
    </xf>
    <xf numFmtId="176" fontId="6" fillId="2" borderId="21" xfId="0" applyNumberFormat="1" applyFont="1" applyFill="1" applyBorder="1" applyAlignment="1">
      <alignment horizontal="center" vertical="center"/>
    </xf>
    <xf numFmtId="174" fontId="6" fillId="2" borderId="24" xfId="0" applyNumberFormat="1" applyFont="1" applyFill="1" applyBorder="1" applyAlignment="1">
      <alignment horizontal="center" vertical="center"/>
    </xf>
    <xf numFmtId="2" fontId="6" fillId="2" borderId="25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 wrapText="1"/>
    </xf>
    <xf numFmtId="2" fontId="6" fillId="2" borderId="21" xfId="0" applyNumberFormat="1" applyFont="1" applyFill="1" applyBorder="1" applyAlignment="1">
      <alignment horizontal="center" vertical="center" wrapText="1"/>
    </xf>
    <xf numFmtId="2" fontId="6" fillId="2" borderId="25" xfId="0" applyNumberFormat="1" applyFont="1" applyFill="1" applyBorder="1" applyAlignment="1">
      <alignment horizontal="center" vertical="center" wrapText="1"/>
    </xf>
    <xf numFmtId="2" fontId="6" fillId="2" borderId="13" xfId="0" applyNumberFormat="1" applyFont="1" applyFill="1" applyBorder="1" applyAlignment="1">
      <alignment horizontal="center" vertical="center" wrapText="1"/>
    </xf>
    <xf numFmtId="2" fontId="6" fillId="2" borderId="21" xfId="0" applyNumberFormat="1" applyFont="1" applyFill="1" applyBorder="1" applyAlignment="1">
      <alignment horizontal="center" vertical="center"/>
    </xf>
    <xf numFmtId="2" fontId="6" fillId="2" borderId="23" xfId="0" applyNumberFormat="1" applyFont="1" applyFill="1" applyBorder="1" applyAlignment="1">
      <alignment horizontal="center" vertical="center"/>
    </xf>
    <xf numFmtId="173" fontId="6" fillId="2" borderId="22" xfId="0" applyNumberFormat="1" applyFont="1" applyFill="1" applyBorder="1" applyAlignment="1">
      <alignment horizontal="center" vertical="center"/>
    </xf>
    <xf numFmtId="173" fontId="6" fillId="2" borderId="23" xfId="0" applyNumberFormat="1" applyFont="1" applyFill="1" applyBorder="1" applyAlignment="1">
      <alignment horizontal="center" vertical="center"/>
    </xf>
    <xf numFmtId="173" fontId="6" fillId="2" borderId="6" xfId="0" applyNumberFormat="1" applyFont="1" applyFill="1" applyBorder="1" applyAlignment="1">
      <alignment horizontal="center" vertical="center"/>
    </xf>
    <xf numFmtId="173" fontId="6" fillId="2" borderId="33" xfId="0" applyNumberFormat="1" applyFont="1" applyFill="1" applyBorder="1" applyAlignment="1">
      <alignment horizontal="center" vertical="center"/>
    </xf>
    <xf numFmtId="173" fontId="6" fillId="2" borderId="34" xfId="0" applyNumberFormat="1" applyFont="1" applyFill="1" applyBorder="1" applyAlignment="1">
      <alignment horizontal="center" vertical="center"/>
    </xf>
    <xf numFmtId="2" fontId="6" fillId="2" borderId="35" xfId="0" applyNumberFormat="1" applyFont="1" applyFill="1" applyBorder="1" applyAlignment="1">
      <alignment horizontal="center" vertical="center"/>
    </xf>
    <xf numFmtId="173" fontId="6" fillId="2" borderId="21" xfId="0" applyNumberFormat="1" applyFont="1" applyFill="1" applyBorder="1" applyAlignment="1">
      <alignment horizontal="center" vertical="center"/>
    </xf>
    <xf numFmtId="173" fontId="6" fillId="2" borderId="25" xfId="0" applyNumberFormat="1" applyFont="1" applyFill="1" applyBorder="1" applyAlignment="1">
      <alignment horizontal="center" vertical="center"/>
    </xf>
    <xf numFmtId="2" fontId="6" fillId="2" borderId="36" xfId="0" applyNumberFormat="1" applyFont="1" applyFill="1" applyBorder="1" applyAlignment="1">
      <alignment horizontal="center" vertical="center"/>
    </xf>
    <xf numFmtId="2" fontId="6" fillId="2" borderId="37" xfId="0" applyNumberFormat="1" applyFont="1" applyFill="1" applyBorder="1" applyAlignment="1">
      <alignment horizontal="center" vertical="center"/>
    </xf>
    <xf numFmtId="2" fontId="6" fillId="2" borderId="38" xfId="0" applyNumberFormat="1" applyFont="1" applyFill="1" applyBorder="1" applyAlignment="1">
      <alignment horizontal="center" vertical="center"/>
    </xf>
    <xf numFmtId="173" fontId="6" fillId="2" borderId="39" xfId="0" applyNumberFormat="1" applyFont="1" applyFill="1" applyBorder="1" applyAlignment="1">
      <alignment horizontal="center" vertical="center"/>
    </xf>
    <xf numFmtId="2" fontId="6" fillId="2" borderId="40" xfId="0" applyNumberFormat="1" applyFont="1" applyFill="1" applyBorder="1" applyAlignment="1">
      <alignment horizontal="center" vertical="center"/>
    </xf>
    <xf numFmtId="173" fontId="6" fillId="2" borderId="41" xfId="0" applyNumberFormat="1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left" vertical="center" wrapText="1"/>
    </xf>
    <xf numFmtId="2" fontId="6" fillId="2" borderId="42" xfId="0" applyNumberFormat="1" applyFont="1" applyFill="1" applyBorder="1" applyAlignment="1">
      <alignment horizontal="center" vertical="center" wrapText="1"/>
    </xf>
    <xf numFmtId="173" fontId="6" fillId="2" borderId="42" xfId="0" applyNumberFormat="1" applyFont="1" applyFill="1" applyBorder="1" applyAlignment="1">
      <alignment horizontal="center" vertical="center"/>
    </xf>
    <xf numFmtId="2" fontId="6" fillId="2" borderId="42" xfId="0" applyNumberFormat="1" applyFont="1" applyFill="1" applyBorder="1" applyAlignment="1">
      <alignment horizontal="center" vertical="center"/>
    </xf>
    <xf numFmtId="2" fontId="6" fillId="2" borderId="9" xfId="0" applyNumberFormat="1" applyFont="1" applyFill="1" applyBorder="1" applyAlignment="1">
      <alignment horizontal="center" vertical="center"/>
    </xf>
    <xf numFmtId="2" fontId="6" fillId="2" borderId="43" xfId="0" applyNumberFormat="1" applyFont="1" applyFill="1" applyBorder="1" applyAlignment="1">
      <alignment horizontal="center" vertical="center"/>
    </xf>
    <xf numFmtId="2" fontId="6" fillId="2" borderId="44" xfId="0" applyNumberFormat="1" applyFont="1" applyFill="1" applyBorder="1" applyAlignment="1">
      <alignment horizontal="center" vertical="center"/>
    </xf>
    <xf numFmtId="2" fontId="6" fillId="2" borderId="33" xfId="0" applyNumberFormat="1" applyFont="1" applyFill="1" applyBorder="1" applyAlignment="1">
      <alignment horizontal="center" vertical="center"/>
    </xf>
    <xf numFmtId="2" fontId="3" fillId="3" borderId="45" xfId="0" applyNumberFormat="1" applyFont="1" applyFill="1" applyBorder="1" applyAlignment="1">
      <alignment horizontal="center" vertical="center" wrapText="1"/>
    </xf>
    <xf numFmtId="2" fontId="3" fillId="4" borderId="45" xfId="0" applyNumberFormat="1" applyFont="1" applyFill="1" applyBorder="1" applyAlignment="1">
      <alignment horizontal="center" vertical="center" wrapText="1"/>
    </xf>
    <xf numFmtId="2" fontId="3" fillId="5" borderId="46" xfId="0" applyNumberFormat="1" applyFont="1" applyFill="1" applyBorder="1" applyAlignment="1">
      <alignment horizontal="center" vertical="center" wrapText="1"/>
    </xf>
    <xf numFmtId="2" fontId="3" fillId="6" borderId="47" xfId="0" applyNumberFormat="1" applyFont="1" applyFill="1" applyBorder="1" applyAlignment="1">
      <alignment horizontal="center" vertical="center" wrapText="1"/>
    </xf>
    <xf numFmtId="2" fontId="3" fillId="6" borderId="32" xfId="0" applyNumberFormat="1" applyFont="1" applyFill="1" applyBorder="1" applyAlignment="1">
      <alignment horizontal="center" vertical="top" wrapText="1"/>
    </xf>
    <xf numFmtId="2" fontId="3" fillId="6" borderId="48" xfId="0" applyNumberFormat="1" applyFont="1" applyFill="1" applyBorder="1" applyAlignment="1">
      <alignment horizontal="center" vertical="top" wrapText="1"/>
    </xf>
    <xf numFmtId="2" fontId="3" fillId="5" borderId="32" xfId="0" applyNumberFormat="1" applyFont="1" applyFill="1" applyBorder="1" applyAlignment="1">
      <alignment horizontal="center" vertical="top" wrapText="1"/>
    </xf>
    <xf numFmtId="2" fontId="3" fillId="5" borderId="48" xfId="0" applyNumberFormat="1" applyFont="1" applyFill="1" applyBorder="1" applyAlignment="1">
      <alignment horizontal="center" vertical="top" wrapText="1"/>
    </xf>
    <xf numFmtId="2" fontId="3" fillId="5" borderId="49" xfId="0" applyNumberFormat="1" applyFont="1" applyFill="1" applyBorder="1" applyAlignment="1">
      <alignment horizontal="center" vertical="center" wrapText="1"/>
    </xf>
    <xf numFmtId="2" fontId="1" fillId="5" borderId="32" xfId="0" applyNumberFormat="1" applyFont="1" applyFill="1" applyBorder="1" applyAlignment="1">
      <alignment horizontal="center" vertical="center"/>
    </xf>
    <xf numFmtId="2" fontId="3" fillId="5" borderId="49" xfId="0" applyNumberFormat="1" applyFont="1" applyFill="1" applyBorder="1" applyAlignment="1">
      <alignment horizontal="center" vertical="top" wrapText="1"/>
    </xf>
    <xf numFmtId="2" fontId="1" fillId="6" borderId="32" xfId="0" applyNumberFormat="1" applyFont="1" applyFill="1" applyBorder="1" applyAlignment="1">
      <alignment horizontal="center" vertical="center"/>
    </xf>
    <xf numFmtId="2" fontId="1" fillId="4" borderId="50" xfId="0" applyNumberFormat="1" applyFont="1" applyFill="1" applyBorder="1" applyAlignment="1">
      <alignment horizontal="center" vertical="center" wrapText="1"/>
    </xf>
    <xf numFmtId="2" fontId="3" fillId="4" borderId="48" xfId="0" applyNumberFormat="1" applyFont="1" applyFill="1" applyBorder="1" applyAlignment="1">
      <alignment horizontal="center" vertical="top" wrapText="1"/>
    </xf>
    <xf numFmtId="2" fontId="3" fillId="6" borderId="47" xfId="0" applyNumberFormat="1" applyFont="1" applyFill="1" applyBorder="1" applyAlignment="1">
      <alignment horizontal="center" vertical="top" wrapText="1"/>
    </xf>
    <xf numFmtId="0" fontId="1" fillId="7" borderId="32" xfId="0" applyFont="1" applyFill="1" applyBorder="1" applyAlignment="1">
      <alignment horizontal="center" vertical="center" wrapText="1"/>
    </xf>
    <xf numFmtId="0" fontId="0" fillId="8" borderId="51" xfId="0" applyFont="1" applyFill="1" applyBorder="1" applyAlignment="1">
      <alignment horizontal="center" vertical="center" wrapText="1"/>
    </xf>
    <xf numFmtId="0" fontId="0" fillId="8" borderId="7" xfId="0" applyFont="1" applyFill="1" applyBorder="1" applyAlignment="1">
      <alignment horizontal="center" vertical="center" wrapText="1"/>
    </xf>
    <xf numFmtId="0" fontId="0" fillId="8" borderId="52" xfId="0" applyFont="1" applyFill="1" applyBorder="1" applyAlignment="1">
      <alignment horizontal="center" vertical="center" wrapText="1"/>
    </xf>
    <xf numFmtId="0" fontId="0" fillId="8" borderId="53" xfId="0" applyFont="1" applyFill="1" applyBorder="1" applyAlignment="1">
      <alignment horizontal="center" vertical="center" wrapText="1"/>
    </xf>
    <xf numFmtId="2" fontId="6" fillId="2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left" vertical="center" wrapText="1"/>
    </xf>
    <xf numFmtId="0" fontId="0" fillId="2" borderId="51" xfId="0" applyFont="1" applyFill="1" applyBorder="1" applyAlignment="1">
      <alignment horizontal="center" vertical="center" wrapText="1"/>
    </xf>
    <xf numFmtId="0" fontId="0" fillId="2" borderId="52" xfId="0" applyFont="1" applyFill="1" applyBorder="1" applyAlignment="1">
      <alignment horizontal="center" vertical="center" wrapText="1"/>
    </xf>
    <xf numFmtId="2" fontId="6" fillId="2" borderId="11" xfId="0" applyNumberFormat="1" applyFont="1" applyFill="1" applyBorder="1" applyAlignment="1">
      <alignment horizontal="center" vertical="center" wrapText="1"/>
    </xf>
    <xf numFmtId="2" fontId="6" fillId="2" borderId="11" xfId="0" applyNumberFormat="1" applyFont="1" applyFill="1" applyBorder="1" applyAlignment="1">
      <alignment horizontal="center" vertical="center"/>
    </xf>
    <xf numFmtId="173" fontId="6" fillId="2" borderId="11" xfId="0" applyNumberFormat="1" applyFont="1" applyFill="1" applyBorder="1" applyAlignment="1">
      <alignment horizontal="center" vertical="center"/>
    </xf>
    <xf numFmtId="2" fontId="6" fillId="2" borderId="5" xfId="0" applyNumberFormat="1" applyFont="1" applyFill="1" applyBorder="1" applyAlignment="1">
      <alignment horizontal="center" vertical="center" wrapText="1"/>
    </xf>
    <xf numFmtId="173" fontId="6" fillId="2" borderId="5" xfId="0" applyNumberFormat="1" applyFont="1" applyFill="1" applyBorder="1" applyAlignment="1">
      <alignment horizontal="center" vertical="center"/>
    </xf>
    <xf numFmtId="2" fontId="6" fillId="2" borderId="5" xfId="0" applyNumberFormat="1" applyFont="1" applyFill="1" applyBorder="1" applyAlignment="1">
      <alignment horizontal="center" vertical="center"/>
    </xf>
    <xf numFmtId="0" fontId="0" fillId="2" borderId="54" xfId="0" applyFont="1" applyFill="1" applyBorder="1" applyAlignment="1">
      <alignment horizontal="center" vertical="center" wrapText="1"/>
    </xf>
    <xf numFmtId="0" fontId="0" fillId="2" borderId="53" xfId="0" applyFont="1" applyFill="1" applyBorder="1" applyAlignment="1">
      <alignment horizontal="center" vertical="center" wrapText="1"/>
    </xf>
    <xf numFmtId="0" fontId="3" fillId="6" borderId="55" xfId="0" applyFont="1" applyFill="1" applyBorder="1" applyAlignment="1">
      <alignment horizontal="center" vertical="top" wrapText="1"/>
    </xf>
    <xf numFmtId="0" fontId="3" fillId="6" borderId="32" xfId="0" applyFont="1" applyFill="1" applyBorder="1" applyAlignment="1">
      <alignment horizontal="center" vertical="top" wrapText="1"/>
    </xf>
    <xf numFmtId="0" fontId="1" fillId="6" borderId="32" xfId="0" applyFont="1" applyFill="1" applyBorder="1" applyAlignment="1">
      <alignment horizontal="center" vertical="center" wrapText="1"/>
    </xf>
    <xf numFmtId="0" fontId="3" fillId="9" borderId="32" xfId="0" applyFont="1" applyFill="1" applyBorder="1" applyAlignment="1">
      <alignment horizontal="center" vertical="top" wrapText="1"/>
    </xf>
    <xf numFmtId="0" fontId="1" fillId="9" borderId="56" xfId="0" applyFont="1" applyFill="1" applyBorder="1" applyAlignment="1">
      <alignment horizontal="center" vertical="center" wrapText="1"/>
    </xf>
    <xf numFmtId="0" fontId="1" fillId="9" borderId="32" xfId="0" applyFont="1" applyFill="1" applyBorder="1" applyAlignment="1">
      <alignment horizontal="center" vertical="center" wrapText="1"/>
    </xf>
    <xf numFmtId="0" fontId="3" fillId="10" borderId="57" xfId="0" applyFont="1" applyFill="1" applyBorder="1" applyAlignment="1">
      <alignment horizontal="center" vertical="top" wrapText="1"/>
    </xf>
    <xf numFmtId="0" fontId="3" fillId="11" borderId="45" xfId="0" applyFont="1" applyFill="1" applyBorder="1" applyAlignment="1">
      <alignment horizontal="center" vertical="center" wrapText="1"/>
    </xf>
    <xf numFmtId="0" fontId="3" fillId="12" borderId="45" xfId="0" applyFont="1" applyFill="1" applyBorder="1" applyAlignment="1">
      <alignment horizontal="center" vertical="center" wrapText="1"/>
    </xf>
    <xf numFmtId="2" fontId="3" fillId="13" borderId="45" xfId="0" applyNumberFormat="1" applyFont="1" applyFill="1" applyBorder="1" applyAlignment="1">
      <alignment horizontal="center" vertical="center" wrapText="1"/>
    </xf>
    <xf numFmtId="170" fontId="3" fillId="7" borderId="45" xfId="17" applyFont="1" applyFill="1" applyBorder="1" applyAlignment="1">
      <alignment horizontal="center" vertical="center" wrapText="1"/>
    </xf>
    <xf numFmtId="0" fontId="3" fillId="14" borderId="45" xfId="0" applyFont="1" applyFill="1" applyBorder="1" applyAlignment="1">
      <alignment horizontal="center" vertical="center" wrapText="1"/>
    </xf>
    <xf numFmtId="0" fontId="1" fillId="8" borderId="45" xfId="0" applyFont="1" applyFill="1" applyBorder="1" applyAlignment="1">
      <alignment horizontal="center" vertical="center" wrapText="1"/>
    </xf>
    <xf numFmtId="0" fontId="1" fillId="15" borderId="45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left" vertical="center" wrapText="1"/>
    </xf>
    <xf numFmtId="0" fontId="1" fillId="8" borderId="32" xfId="0" applyFont="1" applyFill="1" applyBorder="1" applyAlignment="1">
      <alignment horizontal="center" vertical="center" wrapText="1"/>
    </xf>
    <xf numFmtId="2" fontId="1" fillId="6" borderId="59" xfId="0" applyNumberFormat="1" applyFont="1" applyFill="1" applyBorder="1" applyAlignment="1">
      <alignment horizontal="center" vertical="center"/>
    </xf>
    <xf numFmtId="2" fontId="1" fillId="5" borderId="60" xfId="0" applyNumberFormat="1" applyFont="1" applyFill="1" applyBorder="1" applyAlignment="1">
      <alignment horizontal="center" vertical="center"/>
    </xf>
    <xf numFmtId="2" fontId="1" fillId="6" borderId="0" xfId="0" applyNumberFormat="1" applyFont="1" applyFill="1" applyBorder="1" applyAlignment="1">
      <alignment horizontal="center" vertical="center"/>
    </xf>
    <xf numFmtId="2" fontId="1" fillId="4" borderId="32" xfId="0" applyNumberFormat="1" applyFont="1" applyFill="1" applyBorder="1" applyAlignment="1">
      <alignment horizontal="center" vertical="center"/>
    </xf>
    <xf numFmtId="2" fontId="1" fillId="3" borderId="32" xfId="0" applyNumberFormat="1" applyFont="1" applyFill="1" applyBorder="1" applyAlignment="1">
      <alignment horizontal="center" vertical="center"/>
    </xf>
    <xf numFmtId="2" fontId="6" fillId="2" borderId="61" xfId="0" applyNumberFormat="1" applyFont="1" applyFill="1" applyBorder="1" applyAlignment="1">
      <alignment horizontal="center" vertical="center" wrapText="1"/>
    </xf>
    <xf numFmtId="174" fontId="6" fillId="2" borderId="62" xfId="0" applyNumberFormat="1" applyFont="1" applyFill="1" applyBorder="1" applyAlignment="1">
      <alignment horizontal="center" vertical="center"/>
    </xf>
    <xf numFmtId="2" fontId="6" fillId="2" borderId="63" xfId="0" applyNumberFormat="1" applyFont="1" applyFill="1" applyBorder="1" applyAlignment="1">
      <alignment horizontal="center" vertical="center"/>
    </xf>
    <xf numFmtId="2" fontId="6" fillId="2" borderId="64" xfId="0" applyNumberFormat="1" applyFont="1" applyFill="1" applyBorder="1" applyAlignment="1">
      <alignment horizontal="center" vertical="center"/>
    </xf>
    <xf numFmtId="173" fontId="6" fillId="2" borderId="63" xfId="0" applyNumberFormat="1" applyFont="1" applyFill="1" applyBorder="1" applyAlignment="1">
      <alignment horizontal="center" vertical="center"/>
    </xf>
    <xf numFmtId="2" fontId="6" fillId="2" borderId="23" xfId="0" applyNumberFormat="1" applyFont="1" applyFill="1" applyBorder="1" applyAlignment="1">
      <alignment horizontal="center" vertical="center" wrapText="1"/>
    </xf>
    <xf numFmtId="174" fontId="6" fillId="2" borderId="22" xfId="0" applyNumberFormat="1" applyFont="1" applyFill="1" applyBorder="1" applyAlignment="1">
      <alignment horizontal="center" vertical="center"/>
    </xf>
    <xf numFmtId="2" fontId="6" fillId="2" borderId="65" xfId="0" applyNumberFormat="1" applyFont="1" applyFill="1" applyBorder="1" applyAlignment="1">
      <alignment horizontal="center" vertical="center"/>
    </xf>
    <xf numFmtId="2" fontId="6" fillId="2" borderId="66" xfId="0" applyNumberFormat="1" applyFont="1" applyFill="1" applyBorder="1" applyAlignment="1">
      <alignment horizontal="center" vertical="center"/>
    </xf>
    <xf numFmtId="173" fontId="6" fillId="2" borderId="9" xfId="0" applyNumberFormat="1" applyFont="1" applyFill="1" applyBorder="1" applyAlignment="1">
      <alignment horizontal="center" vertical="center"/>
    </xf>
    <xf numFmtId="0" fontId="6" fillId="0" borderId="8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67" xfId="0" applyFont="1" applyBorder="1" applyAlignment="1">
      <alignment/>
    </xf>
    <xf numFmtId="2" fontId="6" fillId="2" borderId="68" xfId="0" applyNumberFormat="1" applyFont="1" applyFill="1" applyBorder="1" applyAlignment="1">
      <alignment horizontal="center" vertical="center" wrapText="1"/>
    </xf>
    <xf numFmtId="176" fontId="6" fillId="2" borderId="5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/>
    </xf>
    <xf numFmtId="2" fontId="6" fillId="2" borderId="69" xfId="0" applyNumberFormat="1" applyFont="1" applyFill="1" applyBorder="1" applyAlignment="1">
      <alignment horizontal="center" vertical="center" wrapText="1"/>
    </xf>
    <xf numFmtId="2" fontId="6" fillId="2" borderId="70" xfId="0" applyNumberFormat="1" applyFont="1" applyFill="1" applyBorder="1" applyAlignment="1">
      <alignment horizontal="center" vertical="center" wrapText="1"/>
    </xf>
    <xf numFmtId="0" fontId="6" fillId="0" borderId="42" xfId="0" applyFont="1" applyBorder="1" applyAlignment="1">
      <alignment/>
    </xf>
    <xf numFmtId="0" fontId="6" fillId="0" borderId="33" xfId="0" applyFont="1" applyBorder="1" applyAlignment="1">
      <alignment/>
    </xf>
    <xf numFmtId="0" fontId="1" fillId="9" borderId="71" xfId="0" applyFont="1" applyFill="1" applyBorder="1" applyAlignment="1">
      <alignment horizontal="center" vertical="center" wrapText="1"/>
    </xf>
    <xf numFmtId="0" fontId="1" fillId="13" borderId="8" xfId="0" applyFont="1" applyFill="1" applyBorder="1" applyAlignment="1">
      <alignment horizontal="center" vertical="center" wrapText="1"/>
    </xf>
    <xf numFmtId="173" fontId="6" fillId="2" borderId="68" xfId="0" applyNumberFormat="1" applyFont="1" applyFill="1" applyBorder="1" applyAlignment="1">
      <alignment horizontal="center" vertical="center"/>
    </xf>
    <xf numFmtId="2" fontId="6" fillId="2" borderId="6" xfId="0" applyNumberFormat="1" applyFont="1" applyFill="1" applyBorder="1" applyAlignment="1">
      <alignment horizontal="center" vertical="center"/>
    </xf>
    <xf numFmtId="173" fontId="6" fillId="2" borderId="69" xfId="0" applyNumberFormat="1" applyFont="1" applyFill="1" applyBorder="1" applyAlignment="1">
      <alignment horizontal="center" vertical="center"/>
    </xf>
    <xf numFmtId="173" fontId="6" fillId="2" borderId="70" xfId="0" applyNumberFormat="1" applyFont="1" applyFill="1" applyBorder="1" applyAlignment="1">
      <alignment horizontal="center" vertical="center"/>
    </xf>
    <xf numFmtId="0" fontId="1" fillId="2" borderId="72" xfId="0" applyFont="1" applyFill="1" applyBorder="1" applyAlignment="1">
      <alignment horizontal="left" vertical="center" wrapText="1"/>
    </xf>
    <xf numFmtId="0" fontId="1" fillId="2" borderId="73" xfId="0" applyFont="1" applyFill="1" applyBorder="1" applyAlignment="1">
      <alignment vertical="center" wrapText="1"/>
    </xf>
    <xf numFmtId="173" fontId="6" fillId="2" borderId="74" xfId="0" applyNumberFormat="1" applyFont="1" applyFill="1" applyBorder="1" applyAlignment="1">
      <alignment horizontal="center" vertical="center"/>
    </xf>
    <xf numFmtId="2" fontId="6" fillId="2" borderId="75" xfId="0" applyNumberFormat="1" applyFont="1" applyFill="1" applyBorder="1" applyAlignment="1">
      <alignment horizontal="center" vertical="center"/>
    </xf>
    <xf numFmtId="2" fontId="1" fillId="5" borderId="55" xfId="0" applyNumberFormat="1" applyFont="1" applyFill="1" applyBorder="1" applyAlignment="1">
      <alignment horizontal="center" vertical="center"/>
    </xf>
    <xf numFmtId="1" fontId="6" fillId="2" borderId="76" xfId="0" applyNumberFormat="1" applyFont="1" applyFill="1" applyBorder="1" applyAlignment="1">
      <alignment horizontal="center" vertical="center"/>
    </xf>
    <xf numFmtId="0" fontId="1" fillId="2" borderId="71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3" fillId="2" borderId="55" xfId="0" applyFont="1" applyFill="1" applyBorder="1" applyAlignment="1">
      <alignment horizontal="center" vertical="top" wrapText="1"/>
    </xf>
    <xf numFmtId="0" fontId="3" fillId="2" borderId="57" xfId="0" applyFont="1" applyFill="1" applyBorder="1" applyAlignment="1">
      <alignment horizontal="center" vertical="top" wrapText="1"/>
    </xf>
    <xf numFmtId="0" fontId="3" fillId="2" borderId="45" xfId="0" applyFont="1" applyFill="1" applyBorder="1" applyAlignment="1">
      <alignment horizontal="center" vertical="center" wrapText="1"/>
    </xf>
    <xf numFmtId="2" fontId="3" fillId="2" borderId="45" xfId="0" applyNumberFormat="1" applyFont="1" applyFill="1" applyBorder="1" applyAlignment="1">
      <alignment horizontal="center" vertical="center" wrapText="1"/>
    </xf>
    <xf numFmtId="170" fontId="3" fillId="2" borderId="45" xfId="17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74" xfId="0" applyFill="1" applyBorder="1" applyAlignment="1">
      <alignment/>
    </xf>
    <xf numFmtId="0" fontId="2" fillId="2" borderId="32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6" fillId="2" borderId="42" xfId="0" applyFont="1" applyFill="1" applyBorder="1" applyAlignment="1">
      <alignment/>
    </xf>
    <xf numFmtId="0" fontId="6" fillId="2" borderId="33" xfId="0" applyFont="1" applyFill="1" applyBorder="1" applyAlignment="1">
      <alignment/>
    </xf>
    <xf numFmtId="0" fontId="0" fillId="2" borderId="67" xfId="0" applyFill="1" applyBorder="1" applyAlignment="1">
      <alignment/>
    </xf>
    <xf numFmtId="0" fontId="0" fillId="2" borderId="42" xfId="0" applyFill="1" applyBorder="1" applyAlignment="1">
      <alignment/>
    </xf>
    <xf numFmtId="0" fontId="0" fillId="2" borderId="33" xfId="0" applyFill="1" applyBorder="1" applyAlignment="1">
      <alignment/>
    </xf>
    <xf numFmtId="0" fontId="0" fillId="13" borderId="77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13" borderId="77" xfId="0" applyFill="1" applyBorder="1" applyAlignment="1">
      <alignment horizontal="center"/>
    </xf>
    <xf numFmtId="0" fontId="1" fillId="0" borderId="7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16" borderId="44" xfId="0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16" borderId="79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69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72" xfId="0" applyFont="1" applyBorder="1" applyAlignment="1">
      <alignment horizontal="left"/>
    </xf>
    <xf numFmtId="0" fontId="6" fillId="0" borderId="84" xfId="0" applyFont="1" applyBorder="1" applyAlignment="1">
      <alignment horizontal="center"/>
    </xf>
    <xf numFmtId="0" fontId="1" fillId="0" borderId="85" xfId="0" applyFont="1" applyBorder="1" applyAlignment="1">
      <alignment/>
    </xf>
    <xf numFmtId="0" fontId="6" fillId="0" borderId="85" xfId="0" applyFont="1" applyBorder="1" applyAlignment="1">
      <alignment horizontal="center"/>
    </xf>
    <xf numFmtId="0" fontId="6" fillId="0" borderId="86" xfId="0" applyFont="1" applyBorder="1" applyAlignment="1">
      <alignment horizontal="left"/>
    </xf>
    <xf numFmtId="0" fontId="6" fillId="0" borderId="87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88" xfId="0" applyFont="1" applyBorder="1" applyAlignment="1">
      <alignment horizontal="left"/>
    </xf>
    <xf numFmtId="0" fontId="1" fillId="2" borderId="1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2" fontId="1" fillId="2" borderId="68" xfId="0" applyNumberFormat="1" applyFont="1" applyFill="1" applyBorder="1" applyAlignment="1">
      <alignment horizontal="center" vertical="center" wrapText="1"/>
    </xf>
    <xf numFmtId="2" fontId="1" fillId="2" borderId="69" xfId="0" applyNumberFormat="1" applyFont="1" applyFill="1" applyBorder="1" applyAlignment="1">
      <alignment horizontal="center" vertical="center" wrapText="1"/>
    </xf>
    <xf numFmtId="2" fontId="1" fillId="2" borderId="70" xfId="0" applyNumberFormat="1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0" fillId="0" borderId="26" xfId="0" applyFont="1" applyBorder="1" applyAlignment="1">
      <alignment/>
    </xf>
    <xf numFmtId="0" fontId="11" fillId="0" borderId="26" xfId="0" applyFont="1" applyBorder="1" applyAlignment="1">
      <alignment/>
    </xf>
    <xf numFmtId="0" fontId="12" fillId="0" borderId="26" xfId="0" applyFont="1" applyBorder="1" applyAlignment="1">
      <alignment/>
    </xf>
    <xf numFmtId="0" fontId="1" fillId="13" borderId="8" xfId="0" applyFont="1" applyFill="1" applyBorder="1" applyAlignment="1">
      <alignment horizontal="center" vertical="center"/>
    </xf>
    <xf numFmtId="0" fontId="14" fillId="13" borderId="8" xfId="0" applyFont="1" applyFill="1" applyBorder="1" applyAlignment="1">
      <alignment horizontal="center" vertical="center" wrapText="1"/>
    </xf>
    <xf numFmtId="0" fontId="15" fillId="13" borderId="8" xfId="0" applyFont="1" applyFill="1" applyBorder="1" applyAlignment="1">
      <alignment horizontal="center" vertical="center" wrapText="1"/>
    </xf>
    <xf numFmtId="0" fontId="16" fillId="13" borderId="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2" fontId="17" fillId="0" borderId="8" xfId="0" applyNumberFormat="1" applyFont="1" applyBorder="1" applyAlignment="1">
      <alignment horizontal="center"/>
    </xf>
    <xf numFmtId="1" fontId="18" fillId="0" borderId="8" xfId="0" applyNumberFormat="1" applyFont="1" applyBorder="1" applyAlignment="1">
      <alignment horizontal="center"/>
    </xf>
    <xf numFmtId="1" fontId="20" fillId="0" borderId="8" xfId="0" applyNumberFormat="1" applyFont="1" applyBorder="1" applyAlignment="1">
      <alignment horizontal="center"/>
    </xf>
    <xf numFmtId="1" fontId="6" fillId="0" borderId="8" xfId="0" applyNumberFormat="1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173" fontId="6" fillId="0" borderId="8" xfId="0" applyNumberFormat="1" applyFont="1" applyBorder="1" applyAlignment="1">
      <alignment horizontal="center"/>
    </xf>
    <xf numFmtId="0" fontId="1" fillId="0" borderId="8" xfId="0" applyFont="1" applyFill="1" applyBorder="1" applyAlignment="1">
      <alignment horizontal="left" wrapText="1"/>
    </xf>
    <xf numFmtId="0" fontId="6" fillId="2" borderId="8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left"/>
    </xf>
    <xf numFmtId="2" fontId="21" fillId="2" borderId="8" xfId="0" applyNumberFormat="1" applyFont="1" applyFill="1" applyBorder="1" applyAlignment="1">
      <alignment horizontal="center"/>
    </xf>
    <xf numFmtId="1" fontId="20" fillId="2" borderId="8" xfId="0" applyNumberFormat="1" applyFont="1" applyFill="1" applyBorder="1" applyAlignment="1">
      <alignment horizontal="center"/>
    </xf>
    <xf numFmtId="1" fontId="6" fillId="2" borderId="8" xfId="0" applyNumberFormat="1" applyFont="1" applyFill="1" applyBorder="1" applyAlignment="1">
      <alignment horizontal="center"/>
    </xf>
    <xf numFmtId="0" fontId="21" fillId="0" borderId="8" xfId="0" applyFont="1" applyBorder="1" applyAlignment="1">
      <alignment/>
    </xf>
    <xf numFmtId="0" fontId="18" fillId="0" borderId="8" xfId="0" applyFont="1" applyBorder="1" applyAlignment="1">
      <alignment/>
    </xf>
    <xf numFmtId="0" fontId="19" fillId="0" borderId="8" xfId="0" applyFont="1" applyBorder="1" applyAlignment="1">
      <alignment/>
    </xf>
    <xf numFmtId="0" fontId="20" fillId="0" borderId="8" xfId="0" applyFont="1" applyBorder="1" applyAlignment="1">
      <alignment/>
    </xf>
    <xf numFmtId="0" fontId="6" fillId="0" borderId="8" xfId="0" applyFont="1" applyBorder="1" applyAlignment="1">
      <alignment/>
    </xf>
    <xf numFmtId="2" fontId="6" fillId="0" borderId="8" xfId="0" applyNumberFormat="1" applyFont="1" applyBorder="1" applyAlignment="1">
      <alignment/>
    </xf>
    <xf numFmtId="176" fontId="19" fillId="0" borderId="8" xfId="0" applyNumberFormat="1" applyFont="1" applyBorder="1" applyAlignment="1">
      <alignment/>
    </xf>
    <xf numFmtId="0" fontId="6" fillId="0" borderId="8" xfId="0" applyFont="1" applyFill="1" applyBorder="1" applyAlignment="1">
      <alignment horizontal="center"/>
    </xf>
    <xf numFmtId="0" fontId="12" fillId="0" borderId="8" xfId="0" applyFont="1" applyBorder="1" applyAlignment="1">
      <alignment/>
    </xf>
    <xf numFmtId="0" fontId="22" fillId="0" borderId="8" xfId="0" applyFont="1" applyBorder="1" applyAlignment="1">
      <alignment/>
    </xf>
    <xf numFmtId="0" fontId="0" fillId="0" borderId="8" xfId="0" applyBorder="1" applyAlignment="1">
      <alignment/>
    </xf>
    <xf numFmtId="0" fontId="10" fillId="0" borderId="8" xfId="0" applyFont="1" applyBorder="1" applyAlignment="1">
      <alignment/>
    </xf>
    <xf numFmtId="0" fontId="11" fillId="0" borderId="8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" fillId="2" borderId="14" xfId="0" applyFont="1" applyFill="1" applyBorder="1" applyAlignment="1">
      <alignment horizontal="center" vertical="center" wrapText="1"/>
    </xf>
    <xf numFmtId="0" fontId="1" fillId="2" borderId="89" xfId="0" applyFont="1" applyFill="1" applyBorder="1" applyAlignment="1">
      <alignment horizontal="center" vertical="center" wrapText="1"/>
    </xf>
    <xf numFmtId="0" fontId="6" fillId="0" borderId="72" xfId="0" applyFont="1" applyBorder="1" applyAlignment="1">
      <alignment horizontal="center"/>
    </xf>
    <xf numFmtId="0" fontId="13" fillId="13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8" xfId="0" applyFont="1" applyBorder="1" applyAlignment="1">
      <alignment/>
    </xf>
    <xf numFmtId="0" fontId="3" fillId="2" borderId="57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2" fontId="18" fillId="0" borderId="8" xfId="0" applyNumberFormat="1" applyFont="1" applyBorder="1" applyAlignment="1">
      <alignment horizontal="center"/>
    </xf>
    <xf numFmtId="173" fontId="19" fillId="0" borderId="8" xfId="0" applyNumberFormat="1" applyFont="1" applyBorder="1" applyAlignment="1">
      <alignment horizontal="center"/>
    </xf>
    <xf numFmtId="0" fontId="6" fillId="2" borderId="8" xfId="0" applyFont="1" applyFill="1" applyBorder="1" applyAlignment="1">
      <alignment horizontal="center" vertical="center" wrapText="1"/>
    </xf>
    <xf numFmtId="174" fontId="1" fillId="2" borderId="8" xfId="0" applyNumberFormat="1" applyFont="1" applyFill="1" applyBorder="1" applyAlignment="1">
      <alignment horizontal="center" vertical="center" wrapText="1"/>
    </xf>
    <xf numFmtId="173" fontId="6" fillId="2" borderId="8" xfId="0" applyNumberFormat="1" applyFont="1" applyFill="1" applyBorder="1" applyAlignment="1">
      <alignment horizontal="center" vertical="center" wrapText="1"/>
    </xf>
    <xf numFmtId="2" fontId="6" fillId="2" borderId="8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174" fontId="6" fillId="2" borderId="8" xfId="0" applyNumberFormat="1" applyFont="1" applyFill="1" applyBorder="1" applyAlignment="1">
      <alignment horizontal="center" vertical="center" wrapText="1"/>
    </xf>
    <xf numFmtId="173" fontId="6" fillId="2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90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74" fontId="6" fillId="2" borderId="5" xfId="0" applyNumberFormat="1" applyFont="1" applyFill="1" applyBorder="1" applyAlignment="1">
      <alignment horizontal="center" vertical="center" wrapText="1"/>
    </xf>
    <xf numFmtId="2" fontId="6" fillId="2" borderId="91" xfId="0" applyNumberFormat="1" applyFont="1" applyFill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/>
    </xf>
    <xf numFmtId="173" fontId="1" fillId="2" borderId="72" xfId="0" applyNumberFormat="1" applyFont="1" applyFill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/>
    </xf>
    <xf numFmtId="173" fontId="6" fillId="2" borderId="72" xfId="0" applyNumberFormat="1" applyFont="1" applyFill="1" applyBorder="1" applyAlignment="1">
      <alignment horizontal="center" vertical="center" wrapText="1"/>
    </xf>
    <xf numFmtId="2" fontId="6" fillId="2" borderId="72" xfId="0" applyNumberFormat="1" applyFont="1" applyFill="1" applyBorder="1" applyAlignment="1">
      <alignment horizontal="center" vertical="center" wrapText="1"/>
    </xf>
    <xf numFmtId="2" fontId="1" fillId="2" borderId="72" xfId="0" applyNumberFormat="1" applyFont="1" applyFill="1" applyBorder="1" applyAlignment="1">
      <alignment horizontal="center" vertical="center" wrapText="1"/>
    </xf>
    <xf numFmtId="0" fontId="6" fillId="0" borderId="92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174" fontId="6" fillId="2" borderId="93" xfId="0" applyNumberFormat="1" applyFont="1" applyFill="1" applyBorder="1" applyAlignment="1">
      <alignment horizontal="center" vertical="center" wrapText="1"/>
    </xf>
    <xf numFmtId="2" fontId="6" fillId="2" borderId="9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54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54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174" fontId="1" fillId="2" borderId="95" xfId="0" applyNumberFormat="1" applyFont="1" applyFill="1" applyBorder="1" applyAlignment="1">
      <alignment horizontal="center" vertical="center" wrapText="1"/>
    </xf>
    <xf numFmtId="173" fontId="1" fillId="2" borderId="95" xfId="0" applyNumberFormat="1" applyFont="1" applyFill="1" applyBorder="1" applyAlignment="1">
      <alignment horizontal="center" vertical="center" wrapText="1"/>
    </xf>
    <xf numFmtId="173" fontId="1" fillId="2" borderId="95" xfId="0" applyNumberFormat="1" applyFont="1" applyFill="1" applyBorder="1" applyAlignment="1">
      <alignment horizontal="center" vertical="center"/>
    </xf>
    <xf numFmtId="1" fontId="1" fillId="2" borderId="95" xfId="0" applyNumberFormat="1" applyFont="1" applyFill="1" applyBorder="1" applyAlignment="1">
      <alignment horizontal="center" vertical="center"/>
    </xf>
    <xf numFmtId="173" fontId="21" fillId="0" borderId="8" xfId="0" applyNumberFormat="1" applyFont="1" applyBorder="1" applyAlignment="1">
      <alignment/>
    </xf>
    <xf numFmtId="2" fontId="6" fillId="2" borderId="91" xfId="0" applyNumberFormat="1" applyFont="1" applyFill="1" applyBorder="1" applyAlignment="1">
      <alignment horizontal="center" vertical="center"/>
    </xf>
    <xf numFmtId="2" fontId="6" fillId="2" borderId="72" xfId="0" applyNumberFormat="1" applyFont="1" applyFill="1" applyBorder="1" applyAlignment="1">
      <alignment horizontal="center" vertical="center"/>
    </xf>
    <xf numFmtId="177" fontId="1" fillId="2" borderId="38" xfId="0" applyNumberFormat="1" applyFont="1" applyFill="1" applyBorder="1" applyAlignment="1">
      <alignment horizontal="center" vertical="center"/>
    </xf>
    <xf numFmtId="2" fontId="6" fillId="2" borderId="96" xfId="0" applyNumberFormat="1" applyFont="1" applyFill="1" applyBorder="1" applyAlignment="1">
      <alignment horizontal="center" vertical="center"/>
    </xf>
    <xf numFmtId="2" fontId="6" fillId="2" borderId="88" xfId="0" applyNumberFormat="1" applyFont="1" applyFill="1" applyBorder="1" applyAlignment="1">
      <alignment horizontal="center" vertical="center"/>
    </xf>
    <xf numFmtId="0" fontId="3" fillId="2" borderId="97" xfId="0" applyFont="1" applyFill="1" applyBorder="1" applyAlignment="1">
      <alignment horizontal="center" vertical="center" wrapText="1"/>
    </xf>
    <xf numFmtId="0" fontId="3" fillId="2" borderId="82" xfId="0" applyFont="1" applyFill="1" applyBorder="1" applyAlignment="1">
      <alignment horizontal="center" vertical="center" wrapText="1"/>
    </xf>
    <xf numFmtId="0" fontId="6" fillId="2" borderId="83" xfId="0" applyFont="1" applyFill="1" applyBorder="1" applyAlignment="1">
      <alignment horizontal="center" vertical="center" wrapText="1"/>
    </xf>
    <xf numFmtId="0" fontId="6" fillId="2" borderId="69" xfId="0" applyFont="1" applyFill="1" applyBorder="1" applyAlignment="1">
      <alignment horizontal="center" vertical="center" wrapText="1"/>
    </xf>
    <xf numFmtId="0" fontId="6" fillId="2" borderId="87" xfId="0" applyFont="1" applyFill="1" applyBorder="1" applyAlignment="1">
      <alignment horizontal="center" vertical="center" wrapText="1"/>
    </xf>
    <xf numFmtId="0" fontId="1" fillId="2" borderId="82" xfId="0" applyFont="1" applyFill="1" applyBorder="1" applyAlignment="1">
      <alignment horizontal="center" vertical="center" wrapText="1"/>
    </xf>
    <xf numFmtId="0" fontId="3" fillId="2" borderId="98" xfId="0" applyFont="1" applyFill="1" applyBorder="1" applyAlignment="1">
      <alignment horizontal="center" vertical="center" wrapText="1"/>
    </xf>
    <xf numFmtId="173" fontId="6" fillId="2" borderId="5" xfId="15" applyNumberFormat="1" applyFont="1" applyFill="1" applyBorder="1" applyAlignment="1">
      <alignment horizontal="center" vertical="center" wrapText="1"/>
    </xf>
    <xf numFmtId="174" fontId="6" fillId="2" borderId="11" xfId="0" applyNumberFormat="1" applyFont="1" applyFill="1" applyBorder="1" applyAlignment="1">
      <alignment horizontal="center" vertical="center"/>
    </xf>
    <xf numFmtId="0" fontId="1" fillId="0" borderId="9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/>
    </xf>
    <xf numFmtId="0" fontId="6" fillId="2" borderId="22" xfId="0" applyFont="1" applyFill="1" applyBorder="1" applyAlignment="1">
      <alignment/>
    </xf>
    <xf numFmtId="0" fontId="0" fillId="2" borderId="22" xfId="0" applyFill="1" applyBorder="1" applyAlignment="1">
      <alignment/>
    </xf>
    <xf numFmtId="0" fontId="0" fillId="2" borderId="100" xfId="0" applyFill="1" applyBorder="1" applyAlignment="1">
      <alignment/>
    </xf>
    <xf numFmtId="0" fontId="1" fillId="0" borderId="64" xfId="0" applyFont="1" applyFill="1" applyBorder="1" applyAlignment="1">
      <alignment horizontal="center" vertical="center" wrapText="1"/>
    </xf>
    <xf numFmtId="2" fontId="6" fillId="2" borderId="101" xfId="0" applyNumberFormat="1" applyFont="1" applyFill="1" applyBorder="1" applyAlignment="1">
      <alignment horizontal="center" vertical="center" wrapText="1"/>
    </xf>
    <xf numFmtId="173" fontId="1" fillId="2" borderId="13" xfId="0" applyNumberFormat="1" applyFont="1" applyFill="1" applyBorder="1" applyAlignment="1">
      <alignment horizontal="center" vertical="center" wrapText="1"/>
    </xf>
    <xf numFmtId="173" fontId="6" fillId="2" borderId="13" xfId="0" applyNumberFormat="1" applyFont="1" applyFill="1" applyBorder="1" applyAlignment="1">
      <alignment horizontal="center" vertical="center" wrapText="1"/>
    </xf>
    <xf numFmtId="2" fontId="6" fillId="2" borderId="13" xfId="0" applyNumberFormat="1" applyFont="1" applyFill="1" applyBorder="1" applyAlignment="1">
      <alignment horizontal="center" vertical="center" wrapText="1"/>
    </xf>
    <xf numFmtId="2" fontId="1" fillId="2" borderId="13" xfId="0" applyNumberFormat="1" applyFont="1" applyFill="1" applyBorder="1" applyAlignment="1">
      <alignment horizontal="center" vertical="center" wrapText="1"/>
    </xf>
    <xf numFmtId="2" fontId="6" fillId="2" borderId="102" xfId="0" applyNumberFormat="1" applyFont="1" applyFill="1" applyBorder="1" applyAlignment="1">
      <alignment horizontal="center" vertical="center" wrapText="1"/>
    </xf>
    <xf numFmtId="2" fontId="6" fillId="0" borderId="8" xfId="0" applyNumberFormat="1" applyFont="1" applyBorder="1" applyAlignment="1">
      <alignment horizontal="center"/>
    </xf>
    <xf numFmtId="173" fontId="17" fillId="0" borderId="8" xfId="0" applyNumberFormat="1" applyFont="1" applyBorder="1" applyAlignment="1">
      <alignment horizontal="center"/>
    </xf>
    <xf numFmtId="2" fontId="19" fillId="0" borderId="8" xfId="0" applyNumberFormat="1" applyFont="1" applyBorder="1" applyAlignment="1">
      <alignment horizontal="center"/>
    </xf>
    <xf numFmtId="177" fontId="6" fillId="0" borderId="8" xfId="0" applyNumberFormat="1" applyFont="1" applyBorder="1" applyAlignment="1">
      <alignment horizontal="center"/>
    </xf>
    <xf numFmtId="174" fontId="6" fillId="0" borderId="8" xfId="0" applyNumberFormat="1" applyFont="1" applyBorder="1" applyAlignment="1">
      <alignment/>
    </xf>
    <xf numFmtId="2" fontId="21" fillId="0" borderId="8" xfId="0" applyNumberFormat="1" applyFont="1" applyBorder="1" applyAlignment="1">
      <alignment/>
    </xf>
    <xf numFmtId="2" fontId="18" fillId="2" borderId="8" xfId="0" applyNumberFormat="1" applyFont="1" applyFill="1" applyBorder="1" applyAlignment="1">
      <alignment horizontal="center"/>
    </xf>
    <xf numFmtId="2" fontId="20" fillId="0" borderId="8" xfId="0" applyNumberFormat="1" applyFont="1" applyBorder="1" applyAlignment="1">
      <alignment horizontal="center"/>
    </xf>
    <xf numFmtId="2" fontId="19" fillId="2" borderId="8" xfId="0" applyNumberFormat="1" applyFont="1" applyFill="1" applyBorder="1" applyAlignment="1">
      <alignment horizontal="center"/>
    </xf>
    <xf numFmtId="177" fontId="6" fillId="2" borderId="72" xfId="0" applyNumberFormat="1" applyFont="1" applyFill="1" applyBorder="1" applyAlignment="1">
      <alignment horizontal="center" vertical="center"/>
    </xf>
    <xf numFmtId="0" fontId="6" fillId="2" borderId="74" xfId="0" applyFont="1" applyFill="1" applyBorder="1" applyAlignment="1">
      <alignment horizontal="center" vertical="center"/>
    </xf>
    <xf numFmtId="173" fontId="6" fillId="2" borderId="16" xfId="0" applyNumberFormat="1" applyFont="1" applyFill="1" applyBorder="1" applyAlignment="1">
      <alignment horizontal="center" vertical="center"/>
    </xf>
    <xf numFmtId="2" fontId="1" fillId="2" borderId="103" xfId="0" applyNumberFormat="1" applyFont="1" applyFill="1" applyBorder="1" applyAlignment="1">
      <alignment horizontal="center" vertical="center"/>
    </xf>
    <xf numFmtId="0" fontId="6" fillId="16" borderId="8" xfId="0" applyFont="1" applyFill="1" applyBorder="1" applyAlignment="1">
      <alignment horizontal="center" vertical="center" wrapText="1"/>
    </xf>
    <xf numFmtId="2" fontId="3" fillId="13" borderId="104" xfId="0" applyNumberFormat="1" applyFont="1" applyFill="1" applyBorder="1" applyAlignment="1">
      <alignment horizontal="center" vertical="top" wrapText="1"/>
    </xf>
    <xf numFmtId="2" fontId="3" fillId="3" borderId="99" xfId="0" applyNumberFormat="1" applyFont="1" applyFill="1" applyBorder="1" applyAlignment="1">
      <alignment horizontal="center" vertical="center" wrapText="1"/>
    </xf>
    <xf numFmtId="2" fontId="3" fillId="13" borderId="105" xfId="0" applyNumberFormat="1" applyFont="1" applyFill="1" applyBorder="1" applyAlignment="1">
      <alignment horizontal="center" vertical="top" wrapText="1"/>
    </xf>
    <xf numFmtId="0" fontId="2" fillId="0" borderId="9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7" borderId="59" xfId="0" applyFont="1" applyFill="1" applyBorder="1" applyAlignment="1">
      <alignment horizontal="center" vertical="center"/>
    </xf>
    <xf numFmtId="0" fontId="7" fillId="7" borderId="106" xfId="0" applyFont="1" applyFill="1" applyBorder="1" applyAlignment="1">
      <alignment horizontal="center" vertical="center"/>
    </xf>
    <xf numFmtId="0" fontId="7" fillId="7" borderId="60" xfId="0" applyFont="1" applyFill="1" applyBorder="1" applyAlignment="1">
      <alignment horizontal="center" vertical="center"/>
    </xf>
    <xf numFmtId="0" fontId="7" fillId="7" borderId="64" xfId="0" applyFont="1" applyFill="1" applyBorder="1" applyAlignment="1">
      <alignment horizontal="center" vertical="center"/>
    </xf>
    <xf numFmtId="0" fontId="7" fillId="7" borderId="107" xfId="0" applyFont="1" applyFill="1" applyBorder="1" applyAlignment="1">
      <alignment horizontal="center" vertical="center"/>
    </xf>
    <xf numFmtId="0" fontId="7" fillId="7" borderId="108" xfId="0" applyFont="1" applyFill="1" applyBorder="1" applyAlignment="1">
      <alignment horizontal="center" vertical="center"/>
    </xf>
    <xf numFmtId="2" fontId="1" fillId="10" borderId="32" xfId="0" applyNumberFormat="1" applyFont="1" applyFill="1" applyBorder="1" applyAlignment="1">
      <alignment horizontal="center" vertical="center" wrapText="1"/>
    </xf>
    <xf numFmtId="2" fontId="3" fillId="4" borderId="45" xfId="0" applyNumberFormat="1" applyFont="1" applyFill="1" applyBorder="1" applyAlignment="1">
      <alignment horizontal="center" vertical="center" wrapText="1"/>
    </xf>
    <xf numFmtId="2" fontId="3" fillId="4" borderId="99" xfId="0" applyNumberFormat="1" applyFont="1" applyFill="1" applyBorder="1" applyAlignment="1">
      <alignment horizontal="center" vertical="center" wrapText="1"/>
    </xf>
    <xf numFmtId="2" fontId="3" fillId="3" borderId="45" xfId="0" applyNumberFormat="1" applyFont="1" applyFill="1" applyBorder="1" applyAlignment="1">
      <alignment horizontal="center" vertical="center" wrapText="1"/>
    </xf>
    <xf numFmtId="2" fontId="3" fillId="14" borderId="105" xfId="0" applyNumberFormat="1" applyFont="1" applyFill="1" applyBorder="1" applyAlignment="1">
      <alignment horizontal="center" vertical="top" wrapText="1"/>
    </xf>
    <xf numFmtId="2" fontId="3" fillId="14" borderId="104" xfId="0" applyNumberFormat="1" applyFont="1" applyFill="1" applyBorder="1" applyAlignment="1">
      <alignment horizontal="center" vertical="top" wrapText="1"/>
    </xf>
    <xf numFmtId="0" fontId="3" fillId="7" borderId="45" xfId="0" applyFont="1" applyFill="1" applyBorder="1" applyAlignment="1">
      <alignment horizontal="center" vertical="center" wrapText="1"/>
    </xf>
    <xf numFmtId="0" fontId="3" fillId="7" borderId="99" xfId="0" applyFont="1" applyFill="1" applyBorder="1" applyAlignment="1">
      <alignment horizontal="center" vertical="center" wrapText="1"/>
    </xf>
    <xf numFmtId="2" fontId="3" fillId="8" borderId="106" xfId="0" applyNumberFormat="1" applyFont="1" applyFill="1" applyBorder="1" applyAlignment="1">
      <alignment horizontal="center" vertical="center" wrapText="1"/>
    </xf>
    <xf numFmtId="0" fontId="3" fillId="10" borderId="45" xfId="0" applyFont="1" applyFill="1" applyBorder="1" applyAlignment="1">
      <alignment horizontal="center" vertical="center" wrapText="1"/>
    </xf>
    <xf numFmtId="0" fontId="3" fillId="10" borderId="99" xfId="0" applyFont="1" applyFill="1" applyBorder="1" applyAlignment="1">
      <alignment horizontal="center" vertical="center" wrapText="1"/>
    </xf>
    <xf numFmtId="0" fontId="3" fillId="9" borderId="45" xfId="0" applyFont="1" applyFill="1" applyBorder="1" applyAlignment="1">
      <alignment horizontal="center" vertical="center" wrapText="1"/>
    </xf>
    <xf numFmtId="0" fontId="3" fillId="9" borderId="99" xfId="0" applyFont="1" applyFill="1" applyBorder="1" applyAlignment="1">
      <alignment horizontal="center" vertical="center" wrapText="1"/>
    </xf>
    <xf numFmtId="2" fontId="3" fillId="8" borderId="71" xfId="0" applyNumberFormat="1" applyFont="1" applyFill="1" applyBorder="1" applyAlignment="1">
      <alignment horizontal="center" vertical="top" wrapText="1"/>
    </xf>
    <xf numFmtId="2" fontId="3" fillId="8" borderId="56" xfId="0" applyNumberFormat="1" applyFont="1" applyFill="1" applyBorder="1" applyAlignment="1">
      <alignment horizontal="center" vertical="top" wrapText="1"/>
    </xf>
    <xf numFmtId="0" fontId="1" fillId="10" borderId="32" xfId="0" applyFont="1" applyFill="1" applyBorder="1" applyAlignment="1">
      <alignment horizontal="center" vertical="center" wrapText="1"/>
    </xf>
    <xf numFmtId="0" fontId="1" fillId="2" borderId="71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2" fontId="1" fillId="8" borderId="105" xfId="0" applyNumberFormat="1" applyFont="1" applyFill="1" applyBorder="1" applyAlignment="1">
      <alignment horizontal="center" vertical="center" wrapText="1"/>
    </xf>
    <xf numFmtId="2" fontId="1" fillId="8" borderId="104" xfId="0" applyNumberFormat="1" applyFont="1" applyFill="1" applyBorder="1" applyAlignment="1">
      <alignment horizontal="center" vertical="center" wrapText="1"/>
    </xf>
    <xf numFmtId="2" fontId="1" fillId="5" borderId="109" xfId="0" applyNumberFormat="1" applyFont="1" applyFill="1" applyBorder="1" applyAlignment="1">
      <alignment horizontal="center" vertical="center" wrapText="1"/>
    </xf>
    <xf numFmtId="2" fontId="1" fillId="5" borderId="63" xfId="0" applyNumberFormat="1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110" xfId="0" applyFont="1" applyFill="1" applyBorder="1" applyAlignment="1">
      <alignment horizontal="center" vertical="center" wrapText="1"/>
    </xf>
    <xf numFmtId="2" fontId="1" fillId="4" borderId="98" xfId="0" applyNumberFormat="1" applyFont="1" applyFill="1" applyBorder="1" applyAlignment="1">
      <alignment horizontal="center" vertical="center" wrapText="1"/>
    </xf>
    <xf numFmtId="2" fontId="1" fillId="4" borderId="62" xfId="0" applyNumberFormat="1" applyFont="1" applyFill="1" applyBorder="1" applyAlignment="1">
      <alignment horizontal="center" vertical="center" wrapText="1"/>
    </xf>
    <xf numFmtId="0" fontId="1" fillId="10" borderId="71" xfId="0" applyFont="1" applyFill="1" applyBorder="1" applyAlignment="1">
      <alignment horizontal="center" vertical="center" wrapText="1"/>
    </xf>
    <xf numFmtId="0" fontId="1" fillId="10" borderId="56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" fillId="2" borderId="71" xfId="0" applyFont="1" applyFill="1" applyBorder="1" applyAlignment="1">
      <alignment horizontal="left" vertical="center" wrapText="1"/>
    </xf>
    <xf numFmtId="0" fontId="1" fillId="2" borderId="111" xfId="0" applyFont="1" applyFill="1" applyBorder="1" applyAlignment="1">
      <alignment horizontal="left" vertical="center" wrapText="1"/>
    </xf>
    <xf numFmtId="0" fontId="1" fillId="2" borderId="56" xfId="0" applyFont="1" applyFill="1" applyBorder="1" applyAlignment="1">
      <alignment horizontal="left" vertical="center" wrapText="1"/>
    </xf>
    <xf numFmtId="0" fontId="6" fillId="2" borderId="71" xfId="0" applyFont="1" applyFill="1" applyBorder="1" applyAlignment="1">
      <alignment horizontal="center" vertical="center" wrapText="1"/>
    </xf>
    <xf numFmtId="0" fontId="6" fillId="2" borderId="111" xfId="0" applyFont="1" applyFill="1" applyBorder="1" applyAlignment="1">
      <alignment horizontal="center" vertical="center" wrapText="1"/>
    </xf>
    <xf numFmtId="0" fontId="6" fillId="2" borderId="56" xfId="0" applyFont="1" applyFill="1" applyBorder="1" applyAlignment="1">
      <alignment horizontal="center" vertical="center" wrapText="1"/>
    </xf>
    <xf numFmtId="0" fontId="7" fillId="2" borderId="71" xfId="0" applyFont="1" applyFill="1" applyBorder="1" applyAlignment="1">
      <alignment horizontal="center"/>
    </xf>
    <xf numFmtId="0" fontId="7" fillId="2" borderId="111" xfId="0" applyFont="1" applyFill="1" applyBorder="1" applyAlignment="1">
      <alignment horizontal="center"/>
    </xf>
    <xf numFmtId="0" fontId="7" fillId="2" borderId="56" xfId="0" applyFont="1" applyFill="1" applyBorder="1" applyAlignment="1">
      <alignment horizontal="center"/>
    </xf>
    <xf numFmtId="0" fontId="3" fillId="2" borderId="71" xfId="0" applyFont="1" applyFill="1" applyBorder="1" applyAlignment="1">
      <alignment horizontal="left" vertical="center" wrapText="1"/>
    </xf>
    <xf numFmtId="0" fontId="3" fillId="2" borderId="111" xfId="0" applyFont="1" applyFill="1" applyBorder="1" applyAlignment="1">
      <alignment horizontal="left" vertical="center" wrapText="1"/>
    </xf>
    <xf numFmtId="0" fontId="3" fillId="2" borderId="56" xfId="0" applyFont="1" applyFill="1" applyBorder="1" applyAlignment="1">
      <alignment horizontal="left" vertical="center" wrapText="1"/>
    </xf>
    <xf numFmtId="0" fontId="7" fillId="6" borderId="71" xfId="0" applyFont="1" applyFill="1" applyBorder="1" applyAlignment="1">
      <alignment horizontal="center"/>
    </xf>
    <xf numFmtId="0" fontId="7" fillId="6" borderId="111" xfId="0" applyFont="1" applyFill="1" applyBorder="1" applyAlignment="1">
      <alignment horizontal="center"/>
    </xf>
    <xf numFmtId="0" fontId="7" fillId="6" borderId="56" xfId="0" applyFont="1" applyFill="1" applyBorder="1" applyAlignment="1">
      <alignment horizontal="center"/>
    </xf>
    <xf numFmtId="0" fontId="6" fillId="2" borderId="71" xfId="0" applyFont="1" applyFill="1" applyBorder="1" applyAlignment="1">
      <alignment vertical="center" wrapText="1"/>
    </xf>
    <xf numFmtId="0" fontId="6" fillId="0" borderId="111" xfId="0" applyFont="1" applyBorder="1" applyAlignment="1">
      <alignment vertical="center" wrapText="1"/>
    </xf>
    <xf numFmtId="0" fontId="6" fillId="0" borderId="56" xfId="0" applyFont="1" applyBorder="1" applyAlignment="1">
      <alignment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111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8" fillId="2" borderId="71" xfId="0" applyFont="1" applyFill="1" applyBorder="1" applyAlignment="1">
      <alignment horizontal="center"/>
    </xf>
    <xf numFmtId="0" fontId="8" fillId="2" borderId="111" xfId="0" applyFont="1" applyFill="1" applyBorder="1" applyAlignment="1">
      <alignment horizontal="center"/>
    </xf>
    <xf numFmtId="0" fontId="8" fillId="2" borderId="56" xfId="0" applyFont="1" applyFill="1" applyBorder="1" applyAlignment="1">
      <alignment horizontal="center"/>
    </xf>
    <xf numFmtId="0" fontId="3" fillId="2" borderId="59" xfId="0" applyFont="1" applyFill="1" applyBorder="1" applyAlignment="1">
      <alignment horizontal="center"/>
    </xf>
    <xf numFmtId="0" fontId="3" fillId="2" borderId="106" xfId="0" applyFont="1" applyFill="1" applyBorder="1" applyAlignment="1">
      <alignment horizontal="center"/>
    </xf>
    <xf numFmtId="0" fontId="3" fillId="2" borderId="60" xfId="0" applyFont="1" applyFill="1" applyBorder="1" applyAlignment="1">
      <alignment horizontal="center"/>
    </xf>
    <xf numFmtId="0" fontId="1" fillId="2" borderId="112" xfId="0" applyFont="1" applyFill="1" applyBorder="1" applyAlignment="1">
      <alignment horizontal="left" vertical="center" wrapText="1"/>
    </xf>
    <xf numFmtId="0" fontId="1" fillId="2" borderId="113" xfId="0" applyFont="1" applyFill="1" applyBorder="1" applyAlignment="1">
      <alignment horizontal="left" vertical="center" wrapText="1"/>
    </xf>
    <xf numFmtId="0" fontId="1" fillId="2" borderId="114" xfId="0" applyFont="1" applyFill="1" applyBorder="1" applyAlignment="1">
      <alignment horizontal="left" vertical="center" wrapText="1"/>
    </xf>
    <xf numFmtId="0" fontId="1" fillId="2" borderId="115" xfId="0" applyFont="1" applyFill="1" applyBorder="1" applyAlignment="1">
      <alignment horizontal="left" vertical="center" wrapText="1"/>
    </xf>
    <xf numFmtId="0" fontId="1" fillId="2" borderId="116" xfId="0" applyFont="1" applyFill="1" applyBorder="1" applyAlignment="1">
      <alignment horizontal="left" vertical="center" wrapText="1"/>
    </xf>
    <xf numFmtId="0" fontId="1" fillId="2" borderId="117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2" borderId="118" xfId="0" applyFont="1" applyFill="1" applyBorder="1" applyAlignment="1">
      <alignment horizontal="center"/>
    </xf>
    <xf numFmtId="0" fontId="1" fillId="2" borderId="110" xfId="0" applyFont="1" applyFill="1" applyBorder="1" applyAlignment="1">
      <alignment horizontal="center"/>
    </xf>
    <xf numFmtId="0" fontId="1" fillId="2" borderId="65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64" xfId="0" applyFont="1" applyFill="1" applyBorder="1" applyAlignment="1">
      <alignment horizontal="left" vertical="center" wrapText="1"/>
    </xf>
    <xf numFmtId="0" fontId="1" fillId="2" borderId="107" xfId="0" applyFont="1" applyFill="1" applyBorder="1" applyAlignment="1">
      <alignment horizontal="left" vertical="center" wrapText="1"/>
    </xf>
    <xf numFmtId="0" fontId="1" fillId="2" borderId="108" xfId="0" applyFont="1" applyFill="1" applyBorder="1" applyAlignment="1">
      <alignment horizontal="left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6" fillId="2" borderId="119" xfId="0" applyFont="1" applyFill="1" applyBorder="1" applyAlignment="1">
      <alignment horizontal="center" vertical="center" wrapText="1"/>
    </xf>
    <xf numFmtId="0" fontId="6" fillId="2" borderId="99" xfId="0" applyFont="1" applyFill="1" applyBorder="1" applyAlignment="1">
      <alignment horizontal="center" vertical="center" wrapText="1"/>
    </xf>
    <xf numFmtId="0" fontId="1" fillId="2" borderId="120" xfId="0" applyFont="1" applyFill="1" applyBorder="1" applyAlignment="1">
      <alignment horizontal="left" vertical="top" wrapText="1"/>
    </xf>
    <xf numFmtId="0" fontId="1" fillId="2" borderId="28" xfId="0" applyFont="1" applyFill="1" applyBorder="1" applyAlignment="1">
      <alignment horizontal="left" vertical="top" wrapText="1"/>
    </xf>
    <xf numFmtId="0" fontId="1" fillId="2" borderId="103" xfId="0" applyFont="1" applyFill="1" applyBorder="1" applyAlignment="1">
      <alignment horizontal="left" vertical="top" wrapText="1"/>
    </xf>
    <xf numFmtId="0" fontId="1" fillId="2" borderId="121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122" xfId="0" applyFont="1" applyFill="1" applyBorder="1" applyAlignment="1">
      <alignment horizontal="left" vertical="top" wrapText="1"/>
    </xf>
    <xf numFmtId="0" fontId="1" fillId="2" borderId="123" xfId="0" applyFont="1" applyFill="1" applyBorder="1" applyAlignment="1">
      <alignment horizontal="left" vertical="top" wrapText="1"/>
    </xf>
    <xf numFmtId="0" fontId="1" fillId="2" borderId="124" xfId="0" applyFont="1" applyFill="1" applyBorder="1" applyAlignment="1">
      <alignment horizontal="left" vertical="top" wrapText="1"/>
    </xf>
    <xf numFmtId="0" fontId="1" fillId="2" borderId="125" xfId="0" applyFont="1" applyFill="1" applyBorder="1" applyAlignment="1">
      <alignment horizontal="left" vertical="top" wrapText="1"/>
    </xf>
    <xf numFmtId="0" fontId="1" fillId="2" borderId="32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/>
    </xf>
    <xf numFmtId="0" fontId="1" fillId="2" borderId="126" xfId="0" applyFont="1" applyFill="1" applyBorder="1" applyAlignment="1">
      <alignment horizontal="left" vertical="center" wrapText="1"/>
    </xf>
    <xf numFmtId="0" fontId="7" fillId="2" borderId="127" xfId="0" applyFont="1" applyFill="1" applyBorder="1" applyAlignment="1">
      <alignment horizontal="center"/>
    </xf>
    <xf numFmtId="0" fontId="7" fillId="2" borderId="126" xfId="0" applyFont="1" applyFill="1" applyBorder="1" applyAlignment="1">
      <alignment horizontal="center"/>
    </xf>
    <xf numFmtId="0" fontId="3" fillId="2" borderId="126" xfId="0" applyFont="1" applyFill="1" applyBorder="1" applyAlignment="1">
      <alignment horizontal="left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1" fillId="2" borderId="16" xfId="0" applyNumberFormat="1" applyFont="1" applyFill="1" applyBorder="1" applyAlignment="1">
      <alignment horizontal="center" vertical="center"/>
    </xf>
    <xf numFmtId="0" fontId="6" fillId="2" borderId="16" xfId="0" applyNumberFormat="1" applyFont="1" applyFill="1" applyBorder="1" applyAlignment="1">
      <alignment horizontal="center" vertical="center"/>
    </xf>
    <xf numFmtId="0" fontId="1" fillId="2" borderId="103" xfId="0" applyNumberFormat="1" applyFont="1" applyFill="1" applyBorder="1" applyAlignment="1">
      <alignment horizontal="center" vertical="center"/>
    </xf>
    <xf numFmtId="0" fontId="1" fillId="2" borderId="42" xfId="0" applyNumberFormat="1" applyFont="1" applyFill="1" applyBorder="1" applyAlignment="1">
      <alignment horizontal="center" vertical="center" wrapText="1"/>
    </xf>
    <xf numFmtId="0" fontId="1" fillId="2" borderId="95" xfId="0" applyNumberFormat="1" applyFont="1" applyFill="1" applyBorder="1" applyAlignment="1">
      <alignment horizontal="center" vertical="center" wrapText="1"/>
    </xf>
    <xf numFmtId="0" fontId="1" fillId="2" borderId="95" xfId="0" applyNumberFormat="1" applyFont="1" applyFill="1" applyBorder="1" applyAlignment="1">
      <alignment horizontal="center" vertical="center"/>
    </xf>
    <xf numFmtId="0" fontId="1" fillId="2" borderId="38" xfId="0" applyNumberFormat="1" applyFont="1" applyFill="1" applyBorder="1" applyAlignment="1">
      <alignment horizontal="center" vertical="center"/>
    </xf>
    <xf numFmtId="173" fontId="6" fillId="2" borderId="72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inforcement%20Estim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lab"/>
      <sheetName val="Slab Calc"/>
      <sheetName val="Beams"/>
      <sheetName val="Projection"/>
      <sheetName val="Bar Wts"/>
    </sheetNames>
    <sheetDataSet>
      <sheetData sheetId="4">
        <row r="2">
          <cell r="A2">
            <v>3</v>
          </cell>
          <cell r="B2">
            <v>0.376</v>
          </cell>
        </row>
        <row r="3">
          <cell r="A3">
            <v>4</v>
          </cell>
          <cell r="B3">
            <v>0.668</v>
          </cell>
        </row>
        <row r="4">
          <cell r="A4">
            <v>5</v>
          </cell>
          <cell r="B4">
            <v>1.043</v>
          </cell>
        </row>
        <row r="5">
          <cell r="A5">
            <v>6</v>
          </cell>
          <cell r="B5">
            <v>1.502</v>
          </cell>
        </row>
        <row r="6">
          <cell r="A6">
            <v>7</v>
          </cell>
          <cell r="B6">
            <v>2.044</v>
          </cell>
        </row>
        <row r="7">
          <cell r="A7">
            <v>8</v>
          </cell>
          <cell r="B7">
            <v>2.67</v>
          </cell>
        </row>
        <row r="8">
          <cell r="A8">
            <v>9</v>
          </cell>
          <cell r="B8">
            <v>3.4</v>
          </cell>
        </row>
        <row r="9">
          <cell r="A9">
            <v>10</v>
          </cell>
          <cell r="B9">
            <v>4.303</v>
          </cell>
        </row>
        <row r="10">
          <cell r="A10">
            <v>11</v>
          </cell>
          <cell r="B10">
            <v>5.313</v>
          </cell>
        </row>
        <row r="11">
          <cell r="A11">
            <v>14</v>
          </cell>
          <cell r="B11">
            <v>7.65</v>
          </cell>
        </row>
        <row r="12">
          <cell r="A12">
            <v>18</v>
          </cell>
          <cell r="B12">
            <v>13.6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BreakPreview" zoomScaleSheetLayoutView="100" workbookViewId="0" topLeftCell="A7">
      <selection activeCell="B9" sqref="B9"/>
    </sheetView>
  </sheetViews>
  <sheetFormatPr defaultColWidth="9.140625" defaultRowHeight="12.75"/>
  <cols>
    <col min="1" max="1" width="12.8515625" style="0" customWidth="1"/>
    <col min="2" max="2" width="19.00390625" style="0" customWidth="1"/>
    <col min="3" max="3" width="9.28125" style="0" bestFit="1" customWidth="1"/>
    <col min="4" max="4" width="12.140625" style="0" customWidth="1"/>
    <col min="5" max="5" width="9.28125" style="0" bestFit="1" customWidth="1"/>
    <col min="6" max="6" width="7.421875" style="0" customWidth="1"/>
    <col min="7" max="7" width="9.28125" style="0" bestFit="1" customWidth="1"/>
    <col min="8" max="8" width="13.140625" style="0" customWidth="1"/>
    <col min="9" max="9" width="16.57421875" style="0" customWidth="1"/>
    <col min="10" max="10" width="12.00390625" style="0" customWidth="1"/>
    <col min="11" max="11" width="10.8515625" style="0" bestFit="1" customWidth="1"/>
  </cols>
  <sheetData>
    <row r="1" spans="1:11" ht="13.5" thickBot="1">
      <c r="A1" s="208" t="s">
        <v>142</v>
      </c>
      <c r="B1" s="208" t="s">
        <v>143</v>
      </c>
      <c r="C1" s="208" t="s">
        <v>144</v>
      </c>
      <c r="D1" s="208" t="s">
        <v>145</v>
      </c>
      <c r="E1" s="208" t="s">
        <v>146</v>
      </c>
      <c r="F1" s="208" t="s">
        <v>147</v>
      </c>
      <c r="G1" s="208" t="s">
        <v>148</v>
      </c>
      <c r="H1" s="208" t="s">
        <v>149</v>
      </c>
      <c r="I1" s="208" t="s">
        <v>150</v>
      </c>
      <c r="J1" s="209"/>
      <c r="K1" s="209"/>
    </row>
    <row r="2" spans="1:11" ht="13.5" thickBot="1">
      <c r="A2" s="210">
        <v>0.376</v>
      </c>
      <c r="B2" s="210">
        <v>0.668</v>
      </c>
      <c r="C2" s="210">
        <v>1.043</v>
      </c>
      <c r="D2" s="210">
        <v>1.502</v>
      </c>
      <c r="E2" s="210">
        <v>2.044</v>
      </c>
      <c r="F2" s="210">
        <v>2.67</v>
      </c>
      <c r="G2" s="210">
        <v>3.4</v>
      </c>
      <c r="H2" s="210">
        <v>0.9</v>
      </c>
      <c r="I2" s="210">
        <v>1.25</v>
      </c>
      <c r="J2" s="209"/>
      <c r="K2" s="209"/>
    </row>
    <row r="3" spans="1:11" ht="12.75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</row>
    <row r="4" spans="1:10" ht="12.75">
      <c r="A4" s="209"/>
      <c r="B4" s="209"/>
      <c r="C4" s="209"/>
      <c r="D4" s="209"/>
      <c r="E4" s="209"/>
      <c r="F4" s="209"/>
      <c r="G4" s="209"/>
      <c r="H4" s="209"/>
      <c r="I4" s="209"/>
      <c r="J4" s="209"/>
    </row>
    <row r="5" spans="2:11" ht="20.25">
      <c r="B5" s="378" t="s">
        <v>151</v>
      </c>
      <c r="C5" s="378"/>
      <c r="D5" s="378"/>
      <c r="E5" s="378"/>
      <c r="F5" s="378"/>
      <c r="G5" s="378"/>
      <c r="H5" s="378"/>
      <c r="I5" s="378"/>
      <c r="J5" s="378"/>
      <c r="K5" s="378"/>
    </row>
    <row r="7" ht="13.5" thickBot="1"/>
    <row r="8" spans="1:11" ht="30" customHeight="1" thickBot="1" thickTop="1">
      <c r="A8" s="124" t="s">
        <v>152</v>
      </c>
      <c r="B8" s="211" t="s">
        <v>153</v>
      </c>
      <c r="C8" s="212" t="s">
        <v>154</v>
      </c>
      <c r="D8" s="212" t="s">
        <v>155</v>
      </c>
      <c r="E8" s="212" t="s">
        <v>156</v>
      </c>
      <c r="F8" s="212" t="s">
        <v>157</v>
      </c>
      <c r="G8" s="212" t="s">
        <v>158</v>
      </c>
      <c r="H8" s="212" t="s">
        <v>159</v>
      </c>
      <c r="I8" s="212" t="s">
        <v>160</v>
      </c>
      <c r="J8" s="212" t="s">
        <v>161</v>
      </c>
      <c r="K8" s="212" t="s">
        <v>162</v>
      </c>
    </row>
    <row r="9" spans="1:11" ht="24.75" customHeight="1" thickTop="1">
      <c r="A9" s="213">
        <v>30</v>
      </c>
      <c r="B9" s="214"/>
      <c r="C9" s="373">
        <v>3</v>
      </c>
      <c r="D9" s="373">
        <v>6</v>
      </c>
      <c r="E9" s="215">
        <f>IF(A9="","",(A9*12)/D9+1)</f>
        <v>61</v>
      </c>
      <c r="F9" s="214">
        <v>1</v>
      </c>
      <c r="G9" s="373">
        <v>17.33</v>
      </c>
      <c r="H9" s="214">
        <f>E9*F9*G9</f>
        <v>1057.1299999999999</v>
      </c>
      <c r="I9" s="214"/>
      <c r="J9" s="214">
        <f>IF(C9=3,A2,IF(C9=4,B2,IF(C9=5,C2,IF(C9=6,D2,IF(C9=7,E2,IF(C9=8,F2,IF(C9=9,G2,IF(C9=11,H2,""))))))))</f>
        <v>0.376</v>
      </c>
      <c r="K9" s="216">
        <f>H9*J9</f>
        <v>397.48087999999996</v>
      </c>
    </row>
    <row r="10" spans="1:11" ht="24.75" customHeight="1">
      <c r="A10" s="213">
        <v>30</v>
      </c>
      <c r="B10" s="214"/>
      <c r="C10" s="373">
        <v>4</v>
      </c>
      <c r="D10" s="373">
        <v>6</v>
      </c>
      <c r="E10" s="215">
        <f>IF(A10="","",(A10*12)/D10+1)</f>
        <v>61</v>
      </c>
      <c r="F10" s="214">
        <v>1</v>
      </c>
      <c r="G10" s="373">
        <v>17.33</v>
      </c>
      <c r="H10" s="214">
        <f>E10*F10*G10</f>
        <v>1057.1299999999999</v>
      </c>
      <c r="I10" s="214"/>
      <c r="J10" s="214">
        <f>IF(C10=3,A3,IF(C10=4,B3,IF(C10=5,C3,IF(C10=6,D3,IF(C10=7,E3,IF(C10=8,F3,IF(C10=9,G3,IF(C10=11,H3,""))))))))</f>
        <v>0</v>
      </c>
      <c r="K10" s="216">
        <f>H10*J10</f>
        <v>0</v>
      </c>
    </row>
    <row r="11" spans="1:11" ht="24.75" customHeight="1">
      <c r="A11" s="213">
        <v>30</v>
      </c>
      <c r="B11" s="214"/>
      <c r="C11" s="373">
        <v>3</v>
      </c>
      <c r="D11" s="373">
        <v>6</v>
      </c>
      <c r="E11" s="215">
        <f>IF(A11="","",(A11*12)/D11+1)</f>
        <v>61</v>
      </c>
      <c r="F11" s="214">
        <v>1</v>
      </c>
      <c r="G11" s="373">
        <v>17.33</v>
      </c>
      <c r="H11" s="214">
        <f>E11*F11*G11</f>
        <v>1057.1299999999999</v>
      </c>
      <c r="I11" s="214"/>
      <c r="J11" s="214">
        <f>IF(C11=3,A4,IF(C11=4,B4,IF(C11=5,C4,IF(C11=6,D4,IF(C11=7,E4,IF(C11=8,F4,IF(C11=9,G4,IF(C11=11,H4,""))))))))</f>
        <v>0</v>
      </c>
      <c r="K11" s="216">
        <f>H11*J11</f>
        <v>0</v>
      </c>
    </row>
    <row r="12" spans="1:11" ht="24.75" customHeight="1">
      <c r="A12" s="213">
        <v>30</v>
      </c>
      <c r="B12" s="214"/>
      <c r="C12" s="373">
        <v>3</v>
      </c>
      <c r="D12" s="373">
        <v>6</v>
      </c>
      <c r="E12" s="215">
        <f>IF(A12="","",(A12*12)/D12+1)</f>
        <v>61</v>
      </c>
      <c r="F12" s="214">
        <v>1</v>
      </c>
      <c r="G12" s="373">
        <v>17.33</v>
      </c>
      <c r="H12" s="214">
        <f>E12*F12*G12</f>
        <v>1057.1299999999999</v>
      </c>
      <c r="I12" s="214"/>
      <c r="J12" s="214">
        <f>IF(C12=3,A5,IF(C12=4,B5,IF(C12=5,C5,IF(C12=6,D5,IF(C12=7,E5,IF(C12=8,F5,IF(C12=9,G5,IF(C12=11,H5,""))))))))</f>
        <v>0</v>
      </c>
      <c r="K12" s="216">
        <f>H12*J12</f>
        <v>0</v>
      </c>
    </row>
    <row r="13" spans="1:11" ht="24.75" customHeight="1">
      <c r="A13" s="213">
        <v>27</v>
      </c>
      <c r="B13" s="214"/>
      <c r="C13" s="373"/>
      <c r="D13" s="373"/>
      <c r="E13" s="215"/>
      <c r="F13" s="214"/>
      <c r="G13" s="373"/>
      <c r="H13" s="214"/>
      <c r="I13" s="214"/>
      <c r="J13" s="214">
        <f>IF(C13=3,A6,IF(C13=4,B6,IF(C13=5,C6,IF(C13=6,D6,IF(C13=7,E6,IF(C13=8,F6,IF(C13=9,G6,IF(C13=11,H6,""))))))))</f>
      </c>
      <c r="K13" s="217"/>
    </row>
    <row r="14" spans="1:11" ht="24.75" customHeight="1">
      <c r="A14" s="213">
        <v>27</v>
      </c>
      <c r="B14" s="214"/>
      <c r="C14" s="373"/>
      <c r="D14" s="373"/>
      <c r="E14" s="215"/>
      <c r="F14" s="214"/>
      <c r="G14" s="373"/>
      <c r="H14" s="214"/>
      <c r="I14" s="214"/>
      <c r="J14" s="214"/>
      <c r="K14" s="217"/>
    </row>
    <row r="15" spans="1:11" ht="24.75" customHeight="1">
      <c r="A15" s="213">
        <v>27</v>
      </c>
      <c r="B15" s="214"/>
      <c r="C15" s="373"/>
      <c r="D15" s="373"/>
      <c r="E15" s="215"/>
      <c r="F15" s="214"/>
      <c r="G15" s="373"/>
      <c r="H15" s="214"/>
      <c r="I15" s="214"/>
      <c r="J15" s="214"/>
      <c r="K15" s="217"/>
    </row>
    <row r="16" spans="1:11" ht="24.75" customHeight="1">
      <c r="A16" s="213">
        <v>27</v>
      </c>
      <c r="B16" s="214"/>
      <c r="C16" s="373"/>
      <c r="D16" s="373"/>
      <c r="E16" s="215"/>
      <c r="F16" s="214"/>
      <c r="G16" s="373"/>
      <c r="H16" s="214"/>
      <c r="I16" s="214"/>
      <c r="J16" s="214"/>
      <c r="K16" s="217"/>
    </row>
    <row r="17" spans="1:11" ht="24.75" customHeight="1">
      <c r="A17" s="213">
        <v>27</v>
      </c>
      <c r="B17" s="214"/>
      <c r="C17" s="373"/>
      <c r="D17" s="373"/>
      <c r="E17" s="215"/>
      <c r="F17" s="214"/>
      <c r="G17" s="373"/>
      <c r="H17" s="214"/>
      <c r="I17" s="214"/>
      <c r="J17" s="214"/>
      <c r="K17" s="217"/>
    </row>
    <row r="18" spans="1:11" ht="24.75" customHeight="1">
      <c r="A18" s="213">
        <v>27</v>
      </c>
      <c r="B18" s="214"/>
      <c r="C18" s="373"/>
      <c r="D18" s="373"/>
      <c r="E18" s="215"/>
      <c r="F18" s="214"/>
      <c r="G18" s="373"/>
      <c r="H18" s="214"/>
      <c r="I18" s="214"/>
      <c r="J18" s="214"/>
      <c r="K18" s="217"/>
    </row>
    <row r="19" spans="1:11" ht="24.75" customHeight="1">
      <c r="A19" s="213">
        <v>27</v>
      </c>
      <c r="B19" s="214"/>
      <c r="C19" s="373"/>
      <c r="D19" s="373"/>
      <c r="E19" s="215"/>
      <c r="F19" s="214"/>
      <c r="G19" s="373"/>
      <c r="H19" s="214"/>
      <c r="I19" s="214"/>
      <c r="J19" s="214"/>
      <c r="K19" s="217"/>
    </row>
    <row r="20" spans="1:11" ht="24.75" customHeight="1">
      <c r="A20" s="213"/>
      <c r="B20" s="214"/>
      <c r="C20" s="373"/>
      <c r="D20" s="373"/>
      <c r="E20" s="214"/>
      <c r="F20" s="214"/>
      <c r="G20" s="373"/>
      <c r="H20" s="214"/>
      <c r="I20" s="214"/>
      <c r="J20" s="214">
        <f>IF(C20=3,#REF!,IF(C20=4,#REF!,IF(C20=5,#REF!,IF(C20=6,#REF!,IF(C20=7,#REF!,IF(C20=8,#REF!,""))))))</f>
      </c>
      <c r="K20" s="217"/>
    </row>
    <row r="21" spans="1:11" ht="24.75" customHeight="1">
      <c r="A21" s="213"/>
      <c r="B21" s="214"/>
      <c r="C21" s="373"/>
      <c r="D21" s="373"/>
      <c r="E21" s="214"/>
      <c r="F21" s="214"/>
      <c r="G21" s="373"/>
      <c r="H21" s="214"/>
      <c r="I21" s="214"/>
      <c r="J21" s="214">
        <f>IF(C21=3,#REF!,IF(C21=4,#REF!,IF(C21=5,#REF!,IF(C21=6,#REF!,IF(C21=7,#REF!,IF(C21=8,#REF!,""))))))</f>
      </c>
      <c r="K21" s="217"/>
    </row>
    <row r="22" spans="1:11" ht="24.75" customHeight="1" thickBot="1">
      <c r="A22" s="218"/>
      <c r="B22" s="214"/>
      <c r="C22" s="373"/>
      <c r="D22" s="373"/>
      <c r="E22" s="214"/>
      <c r="F22" s="214"/>
      <c r="G22" s="373"/>
      <c r="H22" s="214"/>
      <c r="I22" s="214"/>
      <c r="J22" s="214">
        <f>IF(C22=3,#REF!,IF(C22=4,#REF!,IF(C22=5,#REF!,IF(C22=6,#REF!,IF(C22=7,#REF!,IF(C22=8,#REF!,""))))))</f>
      </c>
      <c r="K22" s="217"/>
    </row>
    <row r="23" ht="13.5" thickTop="1">
      <c r="J23" s="219">
        <f>IF(C23=3,#REF!,IF(C23=4,#REF!,IF(C23=5,#REF!,IF(C23=6,#REF!,IF(C23=7,#REF!,IF(C23=8,#REF!,""))))))</f>
      </c>
    </row>
    <row r="24" ht="12.75">
      <c r="J24" s="219">
        <f>IF(C24=3,#REF!,IF(C24=4,#REF!,IF(C24=5,#REF!,IF(C24=6,#REF!,IF(C24=7,#REF!,IF(C24=8,#REF!,""))))))</f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5:K5"/>
  </mergeCells>
  <printOptions horizontalCentered="1"/>
  <pageMargins left="0.75" right="0.75" top="0.5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view="pageBreakPreview" zoomScaleSheetLayoutView="100" workbookViewId="0" topLeftCell="A1">
      <selection activeCell="C13" sqref="C13"/>
    </sheetView>
  </sheetViews>
  <sheetFormatPr defaultColWidth="9.140625" defaultRowHeight="12.75"/>
  <cols>
    <col min="1" max="1" width="15.140625" style="0" customWidth="1"/>
    <col min="2" max="2" width="15.00390625" style="0" customWidth="1"/>
    <col min="3" max="3" width="18.00390625" style="0" customWidth="1"/>
    <col min="4" max="4" width="15.00390625" style="0" customWidth="1"/>
    <col min="5" max="5" width="14.421875" style="0" customWidth="1"/>
  </cols>
  <sheetData>
    <row r="1" spans="1:8" ht="21.75" thickBot="1" thickTop="1">
      <c r="A1" s="436" t="s">
        <v>294</v>
      </c>
      <c r="B1" s="437"/>
      <c r="C1" s="437"/>
      <c r="D1" s="437"/>
      <c r="E1" s="438"/>
      <c r="F1" s="324"/>
      <c r="G1" s="323"/>
      <c r="H1" s="323"/>
    </row>
    <row r="2" spans="1:8" ht="16.5" thickTop="1">
      <c r="A2" s="450" t="s">
        <v>296</v>
      </c>
      <c r="B2" s="451"/>
      <c r="C2" s="451"/>
      <c r="D2" s="451"/>
      <c r="E2" s="452"/>
      <c r="F2" s="325"/>
      <c r="G2" s="325"/>
      <c r="H2" s="325"/>
    </row>
    <row r="3" spans="1:8" ht="16.5" customHeight="1">
      <c r="A3" s="453" t="s">
        <v>300</v>
      </c>
      <c r="B3" s="454"/>
      <c r="C3" s="454"/>
      <c r="D3" s="454"/>
      <c r="E3" s="455"/>
      <c r="F3" s="326"/>
      <c r="G3" s="326"/>
      <c r="H3" s="326"/>
    </row>
    <row r="4" spans="1:8" ht="16.5" thickBot="1">
      <c r="A4" s="456" t="s">
        <v>299</v>
      </c>
      <c r="B4" s="457"/>
      <c r="C4" s="457"/>
      <c r="D4" s="457"/>
      <c r="E4" s="458"/>
      <c r="F4" s="327"/>
      <c r="G4" s="326"/>
      <c r="H4" s="326"/>
    </row>
    <row r="5" spans="1:8" ht="30" customHeight="1" thickBot="1" thickTop="1">
      <c r="A5" s="308" t="s">
        <v>113</v>
      </c>
      <c r="B5" s="308" t="s">
        <v>298</v>
      </c>
      <c r="C5" s="308" t="s">
        <v>292</v>
      </c>
      <c r="D5" s="308" t="s">
        <v>293</v>
      </c>
      <c r="E5" s="308" t="s">
        <v>130</v>
      </c>
      <c r="F5" s="328"/>
      <c r="G5" s="328"/>
      <c r="H5" s="328"/>
    </row>
    <row r="6" spans="1:5" ht="15.75" thickTop="1">
      <c r="A6" s="309">
        <v>3</v>
      </c>
      <c r="B6" s="310">
        <v>0.375</v>
      </c>
      <c r="C6" s="310">
        <v>0.376</v>
      </c>
      <c r="D6" s="311">
        <f>C6/2.204</f>
        <v>0.17059891107078037</v>
      </c>
      <c r="E6" s="312">
        <f>C6*1.49</f>
        <v>0.56024</v>
      </c>
    </row>
    <row r="7" spans="1:5" ht="15.75">
      <c r="A7" s="313">
        <v>4</v>
      </c>
      <c r="B7" s="307">
        <v>0.5</v>
      </c>
      <c r="C7" s="307">
        <v>0.668</v>
      </c>
      <c r="D7" s="298">
        <f aca="true" t="shared" si="0" ref="D7:D16">C7/2.204</f>
        <v>0.30308529945553536</v>
      </c>
      <c r="E7" s="314">
        <f aca="true" t="shared" si="1" ref="E7:E16">C7*1.49</f>
        <v>0.9953200000000001</v>
      </c>
    </row>
    <row r="8" spans="1:5" ht="15">
      <c r="A8" s="315">
        <v>5</v>
      </c>
      <c r="B8" s="306">
        <v>0.625</v>
      </c>
      <c r="C8" s="306">
        <v>1.043</v>
      </c>
      <c r="D8" s="302">
        <f t="shared" si="0"/>
        <v>0.47323049001814876</v>
      </c>
      <c r="E8" s="316">
        <f t="shared" si="1"/>
        <v>1.5540699999999998</v>
      </c>
    </row>
    <row r="9" spans="1:5" ht="15">
      <c r="A9" s="315">
        <v>6</v>
      </c>
      <c r="B9" s="306">
        <v>0.75</v>
      </c>
      <c r="C9" s="306">
        <v>1.502</v>
      </c>
      <c r="D9" s="302">
        <f t="shared" si="0"/>
        <v>0.6814882032667876</v>
      </c>
      <c r="E9" s="317">
        <f t="shared" si="1"/>
        <v>2.23798</v>
      </c>
    </row>
    <row r="10" spans="1:5" ht="15">
      <c r="A10" s="315">
        <v>7</v>
      </c>
      <c r="B10" s="306">
        <v>0.875</v>
      </c>
      <c r="C10" s="306">
        <v>2.044</v>
      </c>
      <c r="D10" s="302">
        <f t="shared" si="0"/>
        <v>0.9274047186932849</v>
      </c>
      <c r="E10" s="316">
        <f t="shared" si="1"/>
        <v>3.04556</v>
      </c>
    </row>
    <row r="11" spans="1:5" ht="15.75">
      <c r="A11" s="313">
        <v>8</v>
      </c>
      <c r="B11" s="307">
        <v>1</v>
      </c>
      <c r="C11" s="307">
        <v>2.67</v>
      </c>
      <c r="D11" s="298">
        <f t="shared" si="0"/>
        <v>1.2114337568058076</v>
      </c>
      <c r="E11" s="318">
        <f t="shared" si="1"/>
        <v>3.9783</v>
      </c>
    </row>
    <row r="12" spans="1:5" ht="15">
      <c r="A12" s="315">
        <v>9</v>
      </c>
      <c r="B12" s="306">
        <v>1.125</v>
      </c>
      <c r="C12" s="306">
        <v>3.4</v>
      </c>
      <c r="D12" s="302">
        <f t="shared" si="0"/>
        <v>1.542649727767695</v>
      </c>
      <c r="E12" s="317">
        <f t="shared" si="1"/>
        <v>5.066</v>
      </c>
    </row>
    <row r="13" spans="1:5" ht="15">
      <c r="A13" s="315">
        <v>10</v>
      </c>
      <c r="B13" s="306">
        <v>1.25</v>
      </c>
      <c r="C13" s="306">
        <v>4.303</v>
      </c>
      <c r="D13" s="302">
        <f t="shared" si="0"/>
        <v>1.952359346642468</v>
      </c>
      <c r="E13" s="317">
        <f t="shared" si="1"/>
        <v>6.41147</v>
      </c>
    </row>
    <row r="14" spans="1:5" ht="15.75">
      <c r="A14" s="315">
        <v>11</v>
      </c>
      <c r="B14" s="306">
        <v>1.375</v>
      </c>
      <c r="C14" s="306">
        <v>5.313</v>
      </c>
      <c r="D14" s="298">
        <f t="shared" si="0"/>
        <v>2.410617059891107</v>
      </c>
      <c r="E14" s="318">
        <f t="shared" si="1"/>
        <v>7.91637</v>
      </c>
    </row>
    <row r="15" spans="1:5" ht="15">
      <c r="A15" s="315">
        <v>14</v>
      </c>
      <c r="B15" s="306">
        <v>1.75</v>
      </c>
      <c r="C15" s="306">
        <v>7.65</v>
      </c>
      <c r="D15" s="302">
        <f t="shared" si="0"/>
        <v>3.470961887477314</v>
      </c>
      <c r="E15" s="317">
        <f t="shared" si="1"/>
        <v>11.3985</v>
      </c>
    </row>
    <row r="16" spans="1:5" ht="15.75" thickBot="1">
      <c r="A16" s="319">
        <v>18</v>
      </c>
      <c r="B16" s="320">
        <v>2.25</v>
      </c>
      <c r="C16" s="320">
        <v>13.6</v>
      </c>
      <c r="D16" s="321">
        <f t="shared" si="0"/>
        <v>6.17059891107078</v>
      </c>
      <c r="E16" s="322">
        <f t="shared" si="1"/>
        <v>20.264</v>
      </c>
    </row>
  </sheetData>
  <mergeCells count="4">
    <mergeCell ref="A1:E1"/>
    <mergeCell ref="A2:E2"/>
    <mergeCell ref="A3:E3"/>
    <mergeCell ref="A4:E4"/>
  </mergeCells>
  <printOptions horizontalCentered="1"/>
  <pageMargins left="0.25" right="0.25" top="1.25" bottom="0.5" header="0.5" footer="0.5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view="pageBreakPreview" zoomScale="75" zoomScaleNormal="50" zoomScaleSheetLayoutView="75" workbookViewId="0" topLeftCell="A4">
      <selection activeCell="D10" sqref="D10"/>
    </sheetView>
  </sheetViews>
  <sheetFormatPr defaultColWidth="9.140625" defaultRowHeight="12.75"/>
  <cols>
    <col min="1" max="1" width="9.140625" style="178" customWidth="1"/>
    <col min="2" max="2" width="52.140625" style="178" customWidth="1"/>
    <col min="3" max="3" width="9.140625" style="178" customWidth="1"/>
    <col min="4" max="8" width="19.00390625" style="178" customWidth="1"/>
    <col min="9" max="9" width="21.00390625" style="178" customWidth="1"/>
    <col min="10" max="16384" width="9.140625" style="178" customWidth="1"/>
  </cols>
  <sheetData>
    <row r="1" spans="1:9" ht="39.75" customHeight="1" thickBot="1" thickTop="1">
      <c r="A1" s="474" t="s">
        <v>303</v>
      </c>
      <c r="B1" s="422"/>
      <c r="C1" s="422"/>
      <c r="D1" s="422"/>
      <c r="E1" s="422"/>
      <c r="F1" s="422"/>
      <c r="G1" s="422"/>
      <c r="H1" s="422"/>
      <c r="I1" s="475"/>
    </row>
    <row r="2" spans="1:9" ht="39.75" customHeight="1" thickBot="1" thickTop="1">
      <c r="A2" s="339" t="s">
        <v>15</v>
      </c>
      <c r="B2" s="293" t="s">
        <v>16</v>
      </c>
      <c r="C2" s="181" t="s">
        <v>17</v>
      </c>
      <c r="D2" s="181" t="s">
        <v>45</v>
      </c>
      <c r="E2" s="182" t="s">
        <v>18</v>
      </c>
      <c r="F2" s="182" t="s">
        <v>74</v>
      </c>
      <c r="G2" s="183" t="s">
        <v>75</v>
      </c>
      <c r="H2" s="182" t="s">
        <v>21</v>
      </c>
      <c r="I2" s="345" t="s">
        <v>27</v>
      </c>
    </row>
    <row r="3" spans="1:9" ht="39.75" customHeight="1" thickBot="1" thickTop="1">
      <c r="A3" s="340" t="s">
        <v>90</v>
      </c>
      <c r="B3" s="294" t="s">
        <v>86</v>
      </c>
      <c r="C3" s="424" t="s">
        <v>134</v>
      </c>
      <c r="D3" s="425"/>
      <c r="E3" s="425"/>
      <c r="F3" s="425"/>
      <c r="G3" s="425"/>
      <c r="H3" s="425"/>
      <c r="I3" s="476"/>
    </row>
    <row r="4" spans="1:9" ht="39.75" customHeight="1" thickTop="1">
      <c r="A4" s="341">
        <v>1</v>
      </c>
      <c r="B4" s="108" t="s">
        <v>43</v>
      </c>
      <c r="C4" s="241" t="s">
        <v>55</v>
      </c>
      <c r="D4" s="114">
        <v>1</v>
      </c>
      <c r="E4" s="115">
        <f>D4*0.095</f>
        <v>0.095</v>
      </c>
      <c r="F4" s="116">
        <f>D4*0.474</f>
        <v>0.474</v>
      </c>
      <c r="G4" s="115">
        <f>D4*0.947</f>
        <v>0.947</v>
      </c>
      <c r="H4" s="116"/>
      <c r="I4" s="334"/>
    </row>
    <row r="5" spans="1:9" ht="39.75" customHeight="1">
      <c r="A5" s="342">
        <v>2</v>
      </c>
      <c r="B5" s="20" t="s">
        <v>44</v>
      </c>
      <c r="C5" s="239" t="s">
        <v>55</v>
      </c>
      <c r="D5" s="21">
        <v>1</v>
      </c>
      <c r="E5" s="23">
        <f>D5*0.13</f>
        <v>0.13</v>
      </c>
      <c r="F5" s="22">
        <f>D5*0.462</f>
        <v>0.462</v>
      </c>
      <c r="G5" s="23">
        <f>D5*0.924</f>
        <v>0.924</v>
      </c>
      <c r="H5" s="22"/>
      <c r="I5" s="335"/>
    </row>
    <row r="6" spans="1:9" ht="39.75" customHeight="1">
      <c r="A6" s="342">
        <v>3</v>
      </c>
      <c r="B6" s="20" t="s">
        <v>302</v>
      </c>
      <c r="C6" s="239" t="s">
        <v>55</v>
      </c>
      <c r="D6" s="21">
        <v>1</v>
      </c>
      <c r="E6" s="23">
        <f>D6*0.176</f>
        <v>0.176</v>
      </c>
      <c r="F6" s="22">
        <f>D6*0.44</f>
        <v>0.44</v>
      </c>
      <c r="G6" s="22">
        <f>D6*0.88</f>
        <v>0.88</v>
      </c>
      <c r="H6" s="22"/>
      <c r="I6" s="369">
        <f>D6*0.00222</f>
        <v>0.00222</v>
      </c>
    </row>
    <row r="7" spans="1:9" ht="39.75" customHeight="1">
      <c r="A7" s="342">
        <v>4</v>
      </c>
      <c r="B7" s="20" t="s">
        <v>49</v>
      </c>
      <c r="C7" s="239" t="s">
        <v>55</v>
      </c>
      <c r="D7" s="21">
        <v>1</v>
      </c>
      <c r="E7" s="23">
        <f>D7*0.225</f>
        <v>0.225</v>
      </c>
      <c r="F7" s="22">
        <f>D7*0.42</f>
        <v>0.42</v>
      </c>
      <c r="G7" s="22">
        <f>D7*0.84</f>
        <v>0.84</v>
      </c>
      <c r="H7" s="22"/>
      <c r="I7" s="335"/>
    </row>
    <row r="8" spans="1:9" ht="39.75" customHeight="1">
      <c r="A8" s="342">
        <v>5</v>
      </c>
      <c r="B8" s="20" t="s">
        <v>51</v>
      </c>
      <c r="C8" s="239" t="s">
        <v>55</v>
      </c>
      <c r="D8" s="21">
        <v>1</v>
      </c>
      <c r="E8" s="23">
        <f>D8*0.308</f>
        <v>0.308</v>
      </c>
      <c r="F8" s="22">
        <f>D8*0.385</f>
        <v>0.385</v>
      </c>
      <c r="G8" s="22">
        <f>D8*0.77</f>
        <v>0.77</v>
      </c>
      <c r="H8" s="22"/>
      <c r="I8" s="335"/>
    </row>
    <row r="9" spans="1:9" ht="39.75" customHeight="1">
      <c r="A9" s="343">
        <v>6</v>
      </c>
      <c r="B9" s="29" t="s">
        <v>318</v>
      </c>
      <c r="C9" s="240" t="s">
        <v>56</v>
      </c>
      <c r="D9" s="21">
        <v>1</v>
      </c>
      <c r="E9" s="371">
        <f>D9*0.0733</f>
        <v>0.0733</v>
      </c>
      <c r="F9" s="35">
        <f>D9*0.1833</f>
        <v>0.1833</v>
      </c>
      <c r="G9" s="35">
        <f>D9*0.3666</f>
        <v>0.3666</v>
      </c>
      <c r="H9" s="35"/>
      <c r="I9" s="372" t="s">
        <v>319</v>
      </c>
    </row>
    <row r="10" spans="1:9" ht="41.25" customHeight="1" thickBot="1">
      <c r="A10" s="343">
        <v>7</v>
      </c>
      <c r="B10" s="29" t="s">
        <v>304</v>
      </c>
      <c r="C10" s="240" t="s">
        <v>56</v>
      </c>
      <c r="D10" s="27">
        <v>1</v>
      </c>
      <c r="E10" s="329">
        <f>D10*0.0485</f>
        <v>0.0485</v>
      </c>
      <c r="F10" s="330">
        <f>D10*0.122</f>
        <v>0.122</v>
      </c>
      <c r="G10" s="331">
        <f>D10*0.242</f>
        <v>0.242</v>
      </c>
      <c r="H10" s="332">
        <f>D10*2</f>
        <v>2</v>
      </c>
      <c r="I10" s="336" t="s">
        <v>305</v>
      </c>
    </row>
    <row r="11" spans="1:9" ht="39.75" customHeight="1" thickBot="1" thickTop="1">
      <c r="A11" s="344" t="s">
        <v>91</v>
      </c>
      <c r="B11" s="177" t="s">
        <v>96</v>
      </c>
      <c r="C11" s="415" t="s">
        <v>301</v>
      </c>
      <c r="D11" s="416"/>
      <c r="E11" s="416"/>
      <c r="F11" s="416"/>
      <c r="G11" s="416"/>
      <c r="H11" s="416"/>
      <c r="I11" s="473"/>
    </row>
    <row r="12" spans="1:9" ht="39.75" customHeight="1" thickTop="1">
      <c r="A12" s="341">
        <v>8</v>
      </c>
      <c r="B12" s="108" t="s">
        <v>46</v>
      </c>
      <c r="C12" s="238" t="s">
        <v>55</v>
      </c>
      <c r="D12" s="27">
        <v>1</v>
      </c>
      <c r="E12" s="107">
        <f>D12*0.035</f>
        <v>0.035</v>
      </c>
      <c r="F12" s="107">
        <f>D12*0.2671</f>
        <v>0.2671</v>
      </c>
      <c r="G12" s="107"/>
      <c r="H12" s="107">
        <f aca="true" t="shared" si="0" ref="H12:H17">D12*14</f>
        <v>14</v>
      </c>
      <c r="I12" s="337"/>
    </row>
    <row r="13" spans="1:9" ht="39.75" customHeight="1">
      <c r="A13" s="342">
        <v>9</v>
      </c>
      <c r="B13" s="20" t="s">
        <v>47</v>
      </c>
      <c r="C13" s="239" t="s">
        <v>55</v>
      </c>
      <c r="D13" s="27">
        <v>1</v>
      </c>
      <c r="E13" s="22">
        <f>D13*0.048</f>
        <v>0.048</v>
      </c>
      <c r="F13" s="22">
        <f>D13*0.24</f>
        <v>0.24</v>
      </c>
      <c r="G13" s="22"/>
      <c r="H13" s="22">
        <f t="shared" si="0"/>
        <v>14</v>
      </c>
      <c r="I13" s="335"/>
    </row>
    <row r="14" spans="1:9" ht="39.75" customHeight="1">
      <c r="A14" s="343">
        <v>10</v>
      </c>
      <c r="B14" s="29" t="s">
        <v>227</v>
      </c>
      <c r="C14" s="240" t="s">
        <v>55</v>
      </c>
      <c r="D14" s="27">
        <v>1</v>
      </c>
      <c r="E14" s="112">
        <f>D14*0.03</f>
        <v>0.03</v>
      </c>
      <c r="F14" s="112">
        <f>D14*0.262</f>
        <v>0.262</v>
      </c>
      <c r="G14" s="112"/>
      <c r="H14" s="112">
        <f t="shared" si="0"/>
        <v>14</v>
      </c>
      <c r="I14" s="338"/>
    </row>
    <row r="15" spans="1:9" ht="39.75" customHeight="1">
      <c r="A15" s="343">
        <v>11</v>
      </c>
      <c r="B15" s="29" t="s">
        <v>228</v>
      </c>
      <c r="C15" s="240" t="s">
        <v>55</v>
      </c>
      <c r="D15" s="27">
        <v>1</v>
      </c>
      <c r="E15" s="112">
        <f>D15*0.026</f>
        <v>0.026</v>
      </c>
      <c r="F15" s="112">
        <f>D15*0.266</f>
        <v>0.266</v>
      </c>
      <c r="G15" s="112"/>
      <c r="H15" s="112">
        <f t="shared" si="0"/>
        <v>14</v>
      </c>
      <c r="I15" s="338"/>
    </row>
    <row r="16" spans="1:9" ht="39.75" customHeight="1">
      <c r="A16" s="343">
        <v>12</v>
      </c>
      <c r="B16" s="29" t="s">
        <v>229</v>
      </c>
      <c r="C16" s="240" t="s">
        <v>55</v>
      </c>
      <c r="D16" s="27">
        <v>1</v>
      </c>
      <c r="E16" s="112">
        <f>D16*0.0218</f>
        <v>0.0218</v>
      </c>
      <c r="F16" s="112">
        <f>D16*0.272</f>
        <v>0.272</v>
      </c>
      <c r="G16" s="112"/>
      <c r="H16" s="112">
        <f t="shared" si="0"/>
        <v>14</v>
      </c>
      <c r="I16" s="338"/>
    </row>
    <row r="17" spans="1:9" ht="39.75" customHeight="1" thickBot="1">
      <c r="A17" s="343">
        <v>13</v>
      </c>
      <c r="B17" s="29" t="s">
        <v>230</v>
      </c>
      <c r="C17" s="240" t="s">
        <v>55</v>
      </c>
      <c r="D17" s="27">
        <v>1</v>
      </c>
      <c r="E17" s="112">
        <f>D17*0.0218</f>
        <v>0.0218</v>
      </c>
      <c r="F17" s="112">
        <f>D17*0.276</f>
        <v>0.276</v>
      </c>
      <c r="G17" s="112"/>
      <c r="H17" s="112">
        <f t="shared" si="0"/>
        <v>14</v>
      </c>
      <c r="I17" s="338"/>
    </row>
    <row r="18" spans="1:9" ht="39.75" customHeight="1" thickBot="1" thickTop="1">
      <c r="A18" s="344" t="s">
        <v>92</v>
      </c>
      <c r="B18" s="192" t="s">
        <v>98</v>
      </c>
      <c r="C18" s="415" t="s">
        <v>137</v>
      </c>
      <c r="D18" s="416"/>
      <c r="E18" s="416"/>
      <c r="F18" s="416"/>
      <c r="G18" s="416"/>
      <c r="H18" s="416"/>
      <c r="I18" s="473"/>
    </row>
    <row r="19" spans="1:9" ht="39.75" customHeight="1" thickTop="1">
      <c r="A19" s="341">
        <v>14</v>
      </c>
      <c r="B19" s="20" t="s">
        <v>66</v>
      </c>
      <c r="C19" s="241" t="s">
        <v>56</v>
      </c>
      <c r="D19" s="114">
        <v>1</v>
      </c>
      <c r="E19" s="346">
        <f>D19*0.0077</f>
        <v>0.0077</v>
      </c>
      <c r="F19" s="115">
        <f>D19*0.0582</f>
        <v>0.0582</v>
      </c>
      <c r="G19" s="115"/>
      <c r="H19" s="115"/>
      <c r="I19" s="334"/>
    </row>
    <row r="20" spans="1:9" ht="39.75" customHeight="1">
      <c r="A20" s="342">
        <v>15</v>
      </c>
      <c r="B20" s="20" t="s">
        <v>57</v>
      </c>
      <c r="C20" s="239" t="s">
        <v>56</v>
      </c>
      <c r="D20" s="21">
        <v>1</v>
      </c>
      <c r="E20" s="22">
        <f>D20*0.009</f>
        <v>0.009</v>
      </c>
      <c r="F20" s="23">
        <f>D20*0.0566</f>
        <v>0.0566</v>
      </c>
      <c r="G20" s="23"/>
      <c r="H20" s="23"/>
      <c r="I20" s="335"/>
    </row>
    <row r="21" spans="1:9" ht="39.75" customHeight="1">
      <c r="A21" s="342">
        <v>16</v>
      </c>
      <c r="B21" s="20" t="s">
        <v>58</v>
      </c>
      <c r="C21" s="239" t="s">
        <v>56</v>
      </c>
      <c r="D21" s="21">
        <v>1</v>
      </c>
      <c r="E21" s="23">
        <f>D21*0.0109</f>
        <v>0.0109</v>
      </c>
      <c r="F21" s="23">
        <f>D21*0.0544</f>
        <v>0.0544</v>
      </c>
      <c r="G21" s="23"/>
      <c r="H21" s="23"/>
      <c r="I21" s="335"/>
    </row>
    <row r="22" spans="1:9" ht="39.75" customHeight="1">
      <c r="A22" s="342">
        <v>17</v>
      </c>
      <c r="B22" s="20" t="s">
        <v>61</v>
      </c>
      <c r="C22" s="239" t="s">
        <v>56</v>
      </c>
      <c r="D22" s="21">
        <v>1</v>
      </c>
      <c r="E22" s="23">
        <f>D22*0.0108</f>
        <v>0.0108</v>
      </c>
      <c r="F22" s="23">
        <f>D22*0.0805</f>
        <v>0.0805</v>
      </c>
      <c r="G22" s="23"/>
      <c r="H22" s="23"/>
      <c r="I22" s="335"/>
    </row>
    <row r="23" spans="1:9" ht="39.75" customHeight="1" thickBot="1">
      <c r="A23" s="343">
        <v>18</v>
      </c>
      <c r="B23" s="29" t="s">
        <v>63</v>
      </c>
      <c r="C23" s="240" t="s">
        <v>56</v>
      </c>
      <c r="D23" s="80">
        <v>1</v>
      </c>
      <c r="E23" s="113">
        <f>D23*0.015</f>
        <v>0.015</v>
      </c>
      <c r="F23" s="113">
        <f>D23*0.0752</f>
        <v>0.0752</v>
      </c>
      <c r="G23" s="113"/>
      <c r="H23" s="113"/>
      <c r="I23" s="338"/>
    </row>
    <row r="24" spans="1:9" ht="39.75" customHeight="1" thickBot="1" thickTop="1">
      <c r="A24" s="192" t="s">
        <v>93</v>
      </c>
      <c r="B24" s="192" t="s">
        <v>105</v>
      </c>
      <c r="C24" s="471"/>
      <c r="D24" s="471"/>
      <c r="E24" s="471"/>
      <c r="F24" s="471"/>
      <c r="G24" s="471"/>
      <c r="H24" s="471"/>
      <c r="I24" s="471"/>
    </row>
    <row r="25" spans="1:9" ht="39.75" customHeight="1" thickTop="1">
      <c r="A25" s="341">
        <v>19</v>
      </c>
      <c r="B25" s="31" t="s">
        <v>138</v>
      </c>
      <c r="C25" s="238" t="s">
        <v>56</v>
      </c>
      <c r="D25" s="27">
        <v>1</v>
      </c>
      <c r="E25" s="28">
        <v>0.0293</v>
      </c>
      <c r="F25" s="28">
        <v>0.0733</v>
      </c>
      <c r="G25" s="28">
        <v>0.1466</v>
      </c>
      <c r="H25" s="28"/>
      <c r="I25" s="337"/>
    </row>
    <row r="26" spans="1:9" ht="39.75" customHeight="1">
      <c r="A26" s="342">
        <v>20</v>
      </c>
      <c r="B26" s="20" t="s">
        <v>306</v>
      </c>
      <c r="C26" s="239" t="s">
        <v>56</v>
      </c>
      <c r="D26" s="27">
        <v>1</v>
      </c>
      <c r="E26" s="23">
        <f>D26*0.002</f>
        <v>0.002</v>
      </c>
      <c r="F26" s="23"/>
      <c r="G26" s="23"/>
      <c r="H26" s="22">
        <v>2.66</v>
      </c>
      <c r="I26" s="335"/>
    </row>
    <row r="27" spans="1:9" ht="39.75" customHeight="1">
      <c r="A27" s="342">
        <v>21</v>
      </c>
      <c r="B27" s="20" t="s">
        <v>307</v>
      </c>
      <c r="C27" s="239" t="s">
        <v>56</v>
      </c>
      <c r="D27" s="27">
        <v>1</v>
      </c>
      <c r="E27" s="23">
        <f>D27*0.03</f>
        <v>0.03</v>
      </c>
      <c r="F27" s="23"/>
      <c r="G27" s="23"/>
      <c r="H27" s="23"/>
      <c r="I27" s="335"/>
    </row>
    <row r="28" spans="1:9" ht="39.75" customHeight="1" thickBot="1">
      <c r="A28" s="343">
        <v>22</v>
      </c>
      <c r="B28" s="29" t="s">
        <v>308</v>
      </c>
      <c r="C28" s="240" t="s">
        <v>56</v>
      </c>
      <c r="D28" s="27">
        <v>1</v>
      </c>
      <c r="E28" s="113">
        <f>D28*0.004</f>
        <v>0.004</v>
      </c>
      <c r="F28" s="347">
        <v>0.013</v>
      </c>
      <c r="G28" s="113"/>
      <c r="H28" s="347"/>
      <c r="I28" s="338"/>
    </row>
    <row r="29" spans="1:9" ht="24.75" customHeight="1" thickBot="1" thickTop="1">
      <c r="A29" s="459" t="s">
        <v>99</v>
      </c>
      <c r="B29" s="472" t="s">
        <v>294</v>
      </c>
      <c r="C29" s="472"/>
      <c r="D29" s="472"/>
      <c r="E29" s="472"/>
      <c r="F29" s="472"/>
      <c r="G29" s="472"/>
      <c r="H29" s="472"/>
      <c r="I29" s="472"/>
    </row>
    <row r="30" spans="1:9" ht="24.75" customHeight="1" thickTop="1">
      <c r="A30" s="460"/>
      <c r="B30" s="453" t="s">
        <v>299</v>
      </c>
      <c r="C30" s="454"/>
      <c r="D30" s="454"/>
      <c r="E30" s="454"/>
      <c r="F30" s="454"/>
      <c r="G30" s="454"/>
      <c r="H30" s="454"/>
      <c r="I30" s="455"/>
    </row>
    <row r="31" spans="1:9" ht="50.25" customHeight="1" thickBot="1">
      <c r="A31" s="461"/>
      <c r="B31" s="348" t="s">
        <v>113</v>
      </c>
      <c r="C31" s="348" t="s">
        <v>298</v>
      </c>
      <c r="D31" s="348" t="s">
        <v>292</v>
      </c>
      <c r="E31" s="348" t="s">
        <v>293</v>
      </c>
      <c r="F31" s="353" t="s">
        <v>130</v>
      </c>
      <c r="G31" s="462" t="s">
        <v>309</v>
      </c>
      <c r="H31" s="463"/>
      <c r="I31" s="464"/>
    </row>
    <row r="32" spans="1:9" ht="24.75" customHeight="1" thickTop="1">
      <c r="A32" s="349"/>
      <c r="B32" s="309">
        <v>3</v>
      </c>
      <c r="C32" s="310">
        <v>0.375</v>
      </c>
      <c r="D32" s="310">
        <v>0.376</v>
      </c>
      <c r="E32" s="311">
        <f>D32/2.204</f>
        <v>0.17059891107078037</v>
      </c>
      <c r="F32" s="354">
        <f>D32*1.49</f>
        <v>0.56024</v>
      </c>
      <c r="G32" s="465"/>
      <c r="H32" s="466"/>
      <c r="I32" s="467"/>
    </row>
    <row r="33" spans="1:9" ht="24.75" customHeight="1">
      <c r="A33" s="350"/>
      <c r="B33" s="313">
        <v>4</v>
      </c>
      <c r="C33" s="307">
        <v>0.5</v>
      </c>
      <c r="D33" s="307">
        <v>0.668</v>
      </c>
      <c r="E33" s="298">
        <f aca="true" t="shared" si="1" ref="E33:E42">D33/2.204</f>
        <v>0.30308529945553536</v>
      </c>
      <c r="F33" s="355">
        <f aca="true" t="shared" si="2" ref="F33:F42">D33*1.49</f>
        <v>0.9953200000000001</v>
      </c>
      <c r="G33" s="465"/>
      <c r="H33" s="466"/>
      <c r="I33" s="467"/>
    </row>
    <row r="34" spans="1:9" ht="24.75" customHeight="1">
      <c r="A34" s="350"/>
      <c r="B34" s="315">
        <v>5</v>
      </c>
      <c r="C34" s="306">
        <v>0.625</v>
      </c>
      <c r="D34" s="306">
        <v>1.043</v>
      </c>
      <c r="E34" s="302">
        <f t="shared" si="1"/>
        <v>0.47323049001814876</v>
      </c>
      <c r="F34" s="356">
        <f t="shared" si="2"/>
        <v>1.5540699999999998</v>
      </c>
      <c r="G34" s="465"/>
      <c r="H34" s="466"/>
      <c r="I34" s="467"/>
    </row>
    <row r="35" spans="1:9" ht="24.75" customHeight="1">
      <c r="A35" s="350"/>
      <c r="B35" s="315">
        <v>6</v>
      </c>
      <c r="C35" s="306">
        <v>0.75</v>
      </c>
      <c r="D35" s="306">
        <v>1.502</v>
      </c>
      <c r="E35" s="302">
        <f t="shared" si="1"/>
        <v>0.6814882032667876</v>
      </c>
      <c r="F35" s="357">
        <f t="shared" si="2"/>
        <v>2.23798</v>
      </c>
      <c r="G35" s="465"/>
      <c r="H35" s="466"/>
      <c r="I35" s="467"/>
    </row>
    <row r="36" spans="1:9" ht="24.75" customHeight="1">
      <c r="A36" s="350"/>
      <c r="B36" s="315">
        <v>7</v>
      </c>
      <c r="C36" s="306">
        <v>0.875</v>
      </c>
      <c r="D36" s="306">
        <v>2.044</v>
      </c>
      <c r="E36" s="302">
        <f t="shared" si="1"/>
        <v>0.9274047186932849</v>
      </c>
      <c r="F36" s="356">
        <f t="shared" si="2"/>
        <v>3.04556</v>
      </c>
      <c r="G36" s="465"/>
      <c r="H36" s="466"/>
      <c r="I36" s="467"/>
    </row>
    <row r="37" spans="1:9" ht="24.75" customHeight="1">
      <c r="A37" s="350"/>
      <c r="B37" s="313">
        <v>8</v>
      </c>
      <c r="C37" s="307">
        <v>1</v>
      </c>
      <c r="D37" s="307">
        <v>2.67</v>
      </c>
      <c r="E37" s="298">
        <f t="shared" si="1"/>
        <v>1.2114337568058076</v>
      </c>
      <c r="F37" s="358">
        <f t="shared" si="2"/>
        <v>3.9783</v>
      </c>
      <c r="G37" s="465"/>
      <c r="H37" s="466"/>
      <c r="I37" s="467"/>
    </row>
    <row r="38" spans="1:9" ht="24.75" customHeight="1">
      <c r="A38" s="350"/>
      <c r="B38" s="315">
        <v>9</v>
      </c>
      <c r="C38" s="306">
        <v>1.125</v>
      </c>
      <c r="D38" s="306">
        <v>3.4</v>
      </c>
      <c r="E38" s="302">
        <f t="shared" si="1"/>
        <v>1.542649727767695</v>
      </c>
      <c r="F38" s="357">
        <f t="shared" si="2"/>
        <v>5.066</v>
      </c>
      <c r="G38" s="465"/>
      <c r="H38" s="466"/>
      <c r="I38" s="467"/>
    </row>
    <row r="39" spans="1:9" ht="24.75" customHeight="1">
      <c r="A39" s="350"/>
      <c r="B39" s="315">
        <v>10</v>
      </c>
      <c r="C39" s="306">
        <v>1.25</v>
      </c>
      <c r="D39" s="306">
        <v>4.303</v>
      </c>
      <c r="E39" s="302">
        <f t="shared" si="1"/>
        <v>1.952359346642468</v>
      </c>
      <c r="F39" s="357">
        <f t="shared" si="2"/>
        <v>6.41147</v>
      </c>
      <c r="G39" s="465"/>
      <c r="H39" s="466"/>
      <c r="I39" s="467"/>
    </row>
    <row r="40" spans="1:9" ht="24.75" customHeight="1">
      <c r="A40" s="351"/>
      <c r="B40" s="315">
        <v>11</v>
      </c>
      <c r="C40" s="306">
        <v>1.375</v>
      </c>
      <c r="D40" s="306">
        <v>5.313</v>
      </c>
      <c r="E40" s="298">
        <f t="shared" si="1"/>
        <v>2.410617059891107</v>
      </c>
      <c r="F40" s="358">
        <f t="shared" si="2"/>
        <v>7.91637</v>
      </c>
      <c r="G40" s="465"/>
      <c r="H40" s="466"/>
      <c r="I40" s="467"/>
    </row>
    <row r="41" spans="1:9" ht="24.75" customHeight="1">
      <c r="A41" s="351"/>
      <c r="B41" s="315">
        <v>14</v>
      </c>
      <c r="C41" s="306">
        <v>1.75</v>
      </c>
      <c r="D41" s="306">
        <v>7.65</v>
      </c>
      <c r="E41" s="302">
        <f t="shared" si="1"/>
        <v>3.470961887477314</v>
      </c>
      <c r="F41" s="357">
        <f t="shared" si="2"/>
        <v>11.3985</v>
      </c>
      <c r="G41" s="465"/>
      <c r="H41" s="466"/>
      <c r="I41" s="467"/>
    </row>
    <row r="42" spans="1:9" ht="24.75" customHeight="1" thickBot="1">
      <c r="A42" s="352"/>
      <c r="B42" s="319">
        <v>18</v>
      </c>
      <c r="C42" s="320">
        <v>2.25</v>
      </c>
      <c r="D42" s="320">
        <v>13.6</v>
      </c>
      <c r="E42" s="321">
        <f t="shared" si="1"/>
        <v>6.17059891107078</v>
      </c>
      <c r="F42" s="359">
        <f t="shared" si="2"/>
        <v>20.264</v>
      </c>
      <c r="G42" s="468"/>
      <c r="H42" s="469"/>
      <c r="I42" s="470"/>
    </row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</sheetData>
  <mergeCells count="9">
    <mergeCell ref="C18:I18"/>
    <mergeCell ref="A1:I1"/>
    <mergeCell ref="C11:I11"/>
    <mergeCell ref="C3:I3"/>
    <mergeCell ref="A29:A31"/>
    <mergeCell ref="G31:I42"/>
    <mergeCell ref="C24:I24"/>
    <mergeCell ref="B29:I29"/>
    <mergeCell ref="B30:I30"/>
  </mergeCells>
  <printOptions horizontalCentered="1"/>
  <pageMargins left="0.25" right="0.25" top="0.25" bottom="0.25" header="0.5" footer="0.5"/>
  <pageSetup fitToHeight="1" fitToWidth="1" horizontalDpi="120" verticalDpi="120" orientation="portrait" paperSize="9" scale="5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view="pageBreakPreview" zoomScale="75" zoomScaleNormal="50" zoomScaleSheetLayoutView="75" workbookViewId="0" topLeftCell="B1">
      <selection activeCell="G13" sqref="G13"/>
    </sheetView>
  </sheetViews>
  <sheetFormatPr defaultColWidth="9.140625" defaultRowHeight="12.75"/>
  <cols>
    <col min="1" max="1" width="9.140625" style="178" customWidth="1"/>
    <col min="2" max="2" width="52.140625" style="178" customWidth="1"/>
    <col min="3" max="3" width="9.140625" style="178" customWidth="1"/>
    <col min="4" max="8" width="19.00390625" style="178" customWidth="1"/>
    <col min="9" max="9" width="21.00390625" style="178" customWidth="1"/>
    <col min="10" max="10" width="12.421875" style="178" bestFit="1" customWidth="1"/>
    <col min="11" max="16384" width="9.140625" style="178" customWidth="1"/>
  </cols>
  <sheetData>
    <row r="1" spans="1:9" ht="39.75" customHeight="1" thickBot="1" thickTop="1">
      <c r="A1" s="474" t="s">
        <v>303</v>
      </c>
      <c r="B1" s="422"/>
      <c r="C1" s="422"/>
      <c r="D1" s="422"/>
      <c r="E1" s="422"/>
      <c r="F1" s="422"/>
      <c r="G1" s="422"/>
      <c r="H1" s="422"/>
      <c r="I1" s="475"/>
    </row>
    <row r="2" spans="1:9" ht="39.75" customHeight="1" thickBot="1" thickTop="1">
      <c r="A2" s="339" t="s">
        <v>15</v>
      </c>
      <c r="B2" s="293" t="s">
        <v>16</v>
      </c>
      <c r="C2" s="181" t="s">
        <v>17</v>
      </c>
      <c r="D2" s="181" t="s">
        <v>45</v>
      </c>
      <c r="E2" s="182" t="s">
        <v>18</v>
      </c>
      <c r="F2" s="182" t="s">
        <v>74</v>
      </c>
      <c r="G2" s="183" t="s">
        <v>75</v>
      </c>
      <c r="H2" s="182" t="s">
        <v>21</v>
      </c>
      <c r="I2" s="345" t="s">
        <v>27</v>
      </c>
    </row>
    <row r="3" spans="1:9" ht="39.75" customHeight="1" thickBot="1" thickTop="1">
      <c r="A3" s="340" t="s">
        <v>90</v>
      </c>
      <c r="B3" s="294" t="s">
        <v>86</v>
      </c>
      <c r="C3" s="424" t="s">
        <v>134</v>
      </c>
      <c r="D3" s="425"/>
      <c r="E3" s="425"/>
      <c r="F3" s="425"/>
      <c r="G3" s="425"/>
      <c r="H3" s="425"/>
      <c r="I3" s="476"/>
    </row>
    <row r="4" spans="1:9" ht="39.75" customHeight="1" thickTop="1">
      <c r="A4" s="341">
        <v>1</v>
      </c>
      <c r="B4" s="108" t="s">
        <v>43</v>
      </c>
      <c r="C4" s="241" t="s">
        <v>55</v>
      </c>
      <c r="D4" s="114">
        <v>100</v>
      </c>
      <c r="E4" s="115">
        <f>D4*0.095</f>
        <v>9.5</v>
      </c>
      <c r="F4" s="116">
        <f>D4*0.474</f>
        <v>47.4</v>
      </c>
      <c r="G4" s="115">
        <f>D4*0.947</f>
        <v>94.69999999999999</v>
      </c>
      <c r="H4" s="116"/>
      <c r="I4" s="334"/>
    </row>
    <row r="5" spans="1:9" ht="39.75" customHeight="1">
      <c r="A5" s="342">
        <v>2</v>
      </c>
      <c r="B5" s="20" t="s">
        <v>44</v>
      </c>
      <c r="C5" s="239" t="s">
        <v>55</v>
      </c>
      <c r="D5" s="21">
        <v>100</v>
      </c>
      <c r="E5" s="23">
        <f>D5*0.13</f>
        <v>13</v>
      </c>
      <c r="F5" s="22">
        <f>D5*0.462</f>
        <v>46.2</v>
      </c>
      <c r="G5" s="23">
        <f>D5*0.924</f>
        <v>92.4</v>
      </c>
      <c r="H5" s="22"/>
      <c r="I5" s="335"/>
    </row>
    <row r="6" spans="1:9" ht="39.75" customHeight="1">
      <c r="A6" s="342">
        <v>3</v>
      </c>
      <c r="B6" s="20" t="s">
        <v>302</v>
      </c>
      <c r="C6" s="239" t="s">
        <v>55</v>
      </c>
      <c r="D6" s="21">
        <v>100</v>
      </c>
      <c r="E6" s="23">
        <f>D6*0.176</f>
        <v>17.599999999999998</v>
      </c>
      <c r="F6" s="22">
        <f>D6*0.44</f>
        <v>44</v>
      </c>
      <c r="G6" s="22">
        <f>D6*0.88</f>
        <v>88</v>
      </c>
      <c r="H6" s="22"/>
      <c r="I6" s="485">
        <f>D6*0.00222</f>
        <v>0.22200000000000003</v>
      </c>
    </row>
    <row r="7" spans="1:9" ht="39.75" customHeight="1">
      <c r="A7" s="342">
        <v>4</v>
      </c>
      <c r="B7" s="20" t="s">
        <v>49</v>
      </c>
      <c r="C7" s="239" t="s">
        <v>55</v>
      </c>
      <c r="D7" s="21">
        <v>100</v>
      </c>
      <c r="E7" s="23">
        <f>D7*0.225</f>
        <v>22.5</v>
      </c>
      <c r="F7" s="22">
        <f>D7*0.42</f>
        <v>42</v>
      </c>
      <c r="G7" s="22">
        <f>D7*0.84</f>
        <v>84</v>
      </c>
      <c r="H7" s="22"/>
      <c r="I7" s="335"/>
    </row>
    <row r="8" spans="1:9" ht="39.75" customHeight="1">
      <c r="A8" s="342">
        <v>5</v>
      </c>
      <c r="B8" s="20" t="s">
        <v>51</v>
      </c>
      <c r="C8" s="239" t="s">
        <v>55</v>
      </c>
      <c r="D8" s="21">
        <v>100</v>
      </c>
      <c r="E8" s="23">
        <f>D8*0.308</f>
        <v>30.8</v>
      </c>
      <c r="F8" s="22">
        <f>D8*0.385</f>
        <v>38.5</v>
      </c>
      <c r="G8" s="22">
        <f>D8*0.77</f>
        <v>77</v>
      </c>
      <c r="H8" s="22"/>
      <c r="I8" s="335"/>
    </row>
    <row r="9" spans="1:9" ht="39.75" customHeight="1">
      <c r="A9" s="343">
        <v>6</v>
      </c>
      <c r="B9" s="29" t="s">
        <v>318</v>
      </c>
      <c r="C9" s="240" t="s">
        <v>56</v>
      </c>
      <c r="D9" s="477">
        <v>100</v>
      </c>
      <c r="E9" s="478">
        <f>D9*0.0733</f>
        <v>7.33</v>
      </c>
      <c r="F9" s="478">
        <f>D9*0.1833</f>
        <v>18.33</v>
      </c>
      <c r="G9" s="478">
        <f>D9*0.3666</f>
        <v>36.66</v>
      </c>
      <c r="H9" s="479"/>
      <c r="I9" s="480" t="s">
        <v>320</v>
      </c>
    </row>
    <row r="10" spans="1:9" ht="41.25" customHeight="1" thickBot="1">
      <c r="A10" s="343">
        <v>7</v>
      </c>
      <c r="B10" s="29" t="s">
        <v>304</v>
      </c>
      <c r="C10" s="240" t="s">
        <v>56</v>
      </c>
      <c r="D10" s="481">
        <v>100</v>
      </c>
      <c r="E10" s="482">
        <f>D10*0.0485</f>
        <v>4.8500000000000005</v>
      </c>
      <c r="F10" s="482">
        <f>D10*0.122</f>
        <v>12.2</v>
      </c>
      <c r="G10" s="483">
        <f>D10*0.242</f>
        <v>24.2</v>
      </c>
      <c r="H10" s="483">
        <v>2</v>
      </c>
      <c r="I10" s="484" t="s">
        <v>317</v>
      </c>
    </row>
    <row r="11" spans="1:9" ht="39.75" customHeight="1" thickBot="1" thickTop="1">
      <c r="A11" s="344" t="s">
        <v>91</v>
      </c>
      <c r="B11" s="177" t="s">
        <v>96</v>
      </c>
      <c r="C11" s="415" t="s">
        <v>301</v>
      </c>
      <c r="D11" s="416"/>
      <c r="E11" s="416"/>
      <c r="F11" s="416"/>
      <c r="G11" s="416"/>
      <c r="H11" s="416"/>
      <c r="I11" s="473"/>
    </row>
    <row r="12" spans="1:9" ht="39.75" customHeight="1" thickTop="1">
      <c r="A12" s="341">
        <v>8</v>
      </c>
      <c r="B12" s="108" t="s">
        <v>46</v>
      </c>
      <c r="C12" s="238" t="s">
        <v>55</v>
      </c>
      <c r="D12" s="27">
        <v>100</v>
      </c>
      <c r="E12" s="107">
        <f>D12*0.035</f>
        <v>3.5000000000000004</v>
      </c>
      <c r="F12" s="107">
        <f>D12*0.2671</f>
        <v>26.71</v>
      </c>
      <c r="G12" s="107"/>
      <c r="H12" s="107">
        <f aca="true" t="shared" si="0" ref="H12:H17">D12*14</f>
        <v>1400</v>
      </c>
      <c r="I12" s="337"/>
    </row>
    <row r="13" spans="1:9" ht="39.75" customHeight="1">
      <c r="A13" s="342">
        <v>9</v>
      </c>
      <c r="B13" s="20" t="s">
        <v>47</v>
      </c>
      <c r="C13" s="239" t="s">
        <v>55</v>
      </c>
      <c r="D13" s="27">
        <v>100</v>
      </c>
      <c r="E13" s="22">
        <f>D13*0.048</f>
        <v>4.8</v>
      </c>
      <c r="F13" s="22">
        <f>D13*0.24</f>
        <v>24</v>
      </c>
      <c r="G13" s="22"/>
      <c r="H13" s="22">
        <f t="shared" si="0"/>
        <v>1400</v>
      </c>
      <c r="I13" s="335"/>
    </row>
    <row r="14" spans="1:9" ht="39.75" customHeight="1">
      <c r="A14" s="343">
        <v>10</v>
      </c>
      <c r="B14" s="29" t="s">
        <v>227</v>
      </c>
      <c r="C14" s="240" t="s">
        <v>55</v>
      </c>
      <c r="D14" s="27">
        <v>100</v>
      </c>
      <c r="E14" s="112">
        <f>D14*0.03</f>
        <v>3</v>
      </c>
      <c r="F14" s="112">
        <f>D14*0.262</f>
        <v>26.200000000000003</v>
      </c>
      <c r="G14" s="112"/>
      <c r="H14" s="112">
        <f t="shared" si="0"/>
        <v>1400</v>
      </c>
      <c r="I14" s="338"/>
    </row>
    <row r="15" spans="1:9" ht="39.75" customHeight="1">
      <c r="A15" s="343">
        <v>11</v>
      </c>
      <c r="B15" s="29" t="s">
        <v>228</v>
      </c>
      <c r="C15" s="240" t="s">
        <v>55</v>
      </c>
      <c r="D15" s="27">
        <v>100</v>
      </c>
      <c r="E15" s="112">
        <f>D15*0.026</f>
        <v>2.6</v>
      </c>
      <c r="F15" s="112">
        <f>D15*0.266</f>
        <v>26.6</v>
      </c>
      <c r="G15" s="112"/>
      <c r="H15" s="112">
        <f t="shared" si="0"/>
        <v>1400</v>
      </c>
      <c r="I15" s="338"/>
    </row>
    <row r="16" spans="1:9" ht="39.75" customHeight="1">
      <c r="A16" s="343">
        <v>12</v>
      </c>
      <c r="B16" s="29" t="s">
        <v>229</v>
      </c>
      <c r="C16" s="240" t="s">
        <v>55</v>
      </c>
      <c r="D16" s="27">
        <v>100</v>
      </c>
      <c r="E16" s="112">
        <f>D16*0.0218</f>
        <v>2.18</v>
      </c>
      <c r="F16" s="112">
        <f>D16*0.272</f>
        <v>27.200000000000003</v>
      </c>
      <c r="G16" s="112"/>
      <c r="H16" s="112">
        <f t="shared" si="0"/>
        <v>1400</v>
      </c>
      <c r="I16" s="338"/>
    </row>
    <row r="17" spans="1:9" ht="39.75" customHeight="1" thickBot="1">
      <c r="A17" s="343">
        <v>13</v>
      </c>
      <c r="B17" s="29" t="s">
        <v>230</v>
      </c>
      <c r="C17" s="240" t="s">
        <v>55</v>
      </c>
      <c r="D17" s="27">
        <v>100</v>
      </c>
      <c r="E17" s="112">
        <f>D17*0.0218</f>
        <v>2.18</v>
      </c>
      <c r="F17" s="112">
        <f>D17*0.276</f>
        <v>27.6</v>
      </c>
      <c r="G17" s="112"/>
      <c r="H17" s="112">
        <f t="shared" si="0"/>
        <v>1400</v>
      </c>
      <c r="I17" s="338"/>
    </row>
    <row r="18" spans="1:9" ht="39.75" customHeight="1" thickBot="1" thickTop="1">
      <c r="A18" s="344" t="s">
        <v>92</v>
      </c>
      <c r="B18" s="192" t="s">
        <v>98</v>
      </c>
      <c r="C18" s="415" t="s">
        <v>137</v>
      </c>
      <c r="D18" s="416"/>
      <c r="E18" s="416"/>
      <c r="F18" s="416"/>
      <c r="G18" s="416"/>
      <c r="H18" s="416"/>
      <c r="I18" s="473"/>
    </row>
    <row r="19" spans="1:9" ht="39.75" customHeight="1" thickTop="1">
      <c r="A19" s="341">
        <v>14</v>
      </c>
      <c r="B19" s="20" t="s">
        <v>66</v>
      </c>
      <c r="C19" s="241" t="s">
        <v>56</v>
      </c>
      <c r="D19" s="114">
        <v>100</v>
      </c>
      <c r="E19" s="346">
        <f>D19*0.0077</f>
        <v>0.77</v>
      </c>
      <c r="F19" s="115">
        <f>D19*0.0582</f>
        <v>5.82</v>
      </c>
      <c r="G19" s="115"/>
      <c r="H19" s="115"/>
      <c r="I19" s="334"/>
    </row>
    <row r="20" spans="1:9" ht="39.75" customHeight="1">
      <c r="A20" s="342">
        <v>15</v>
      </c>
      <c r="B20" s="20" t="s">
        <v>57</v>
      </c>
      <c r="C20" s="239" t="s">
        <v>56</v>
      </c>
      <c r="D20" s="21">
        <v>100</v>
      </c>
      <c r="E20" s="22">
        <f>D20*0.009</f>
        <v>0.8999999999999999</v>
      </c>
      <c r="F20" s="23">
        <f>D20*0.0566</f>
        <v>5.66</v>
      </c>
      <c r="G20" s="23"/>
      <c r="H20" s="23"/>
      <c r="I20" s="335"/>
    </row>
    <row r="21" spans="1:9" ht="39.75" customHeight="1">
      <c r="A21" s="342">
        <v>16</v>
      </c>
      <c r="B21" s="20" t="s">
        <v>58</v>
      </c>
      <c r="C21" s="239" t="s">
        <v>56</v>
      </c>
      <c r="D21" s="21">
        <v>100</v>
      </c>
      <c r="E21" s="23">
        <f>D21*0.011</f>
        <v>1.0999999999999999</v>
      </c>
      <c r="F21" s="23">
        <f>D21*0.0544</f>
        <v>5.4399999999999995</v>
      </c>
      <c r="G21" s="23"/>
      <c r="H21" s="23"/>
      <c r="I21" s="335"/>
    </row>
    <row r="22" spans="1:9" ht="39.75" customHeight="1">
      <c r="A22" s="342">
        <v>17</v>
      </c>
      <c r="B22" s="20" t="s">
        <v>61</v>
      </c>
      <c r="C22" s="239" t="s">
        <v>56</v>
      </c>
      <c r="D22" s="21">
        <v>100</v>
      </c>
      <c r="E22" s="23">
        <f>D22*0.0108</f>
        <v>1.08</v>
      </c>
      <c r="F22" s="23">
        <f>D22*0.0805</f>
        <v>8.05</v>
      </c>
      <c r="G22" s="23"/>
      <c r="H22" s="23"/>
      <c r="I22" s="335"/>
    </row>
    <row r="23" spans="1:9" ht="39.75" customHeight="1" thickBot="1">
      <c r="A23" s="343">
        <v>18</v>
      </c>
      <c r="B23" s="29" t="s">
        <v>63</v>
      </c>
      <c r="C23" s="240" t="s">
        <v>56</v>
      </c>
      <c r="D23" s="21">
        <v>100</v>
      </c>
      <c r="E23" s="113">
        <f>D23*0.015</f>
        <v>1.5</v>
      </c>
      <c r="F23" s="113">
        <f>D23*0.0752</f>
        <v>7.5200000000000005</v>
      </c>
      <c r="G23" s="113"/>
      <c r="H23" s="113"/>
      <c r="I23" s="338"/>
    </row>
    <row r="24" spans="1:9" ht="39.75" customHeight="1" thickBot="1" thickTop="1">
      <c r="A24" s="192" t="s">
        <v>93</v>
      </c>
      <c r="B24" s="192" t="s">
        <v>322</v>
      </c>
      <c r="C24" s="471"/>
      <c r="D24" s="471"/>
      <c r="E24" s="471"/>
      <c r="F24" s="471"/>
      <c r="G24" s="471"/>
      <c r="H24" s="471"/>
      <c r="I24" s="471"/>
    </row>
    <row r="25" spans="1:9" ht="39.75" customHeight="1" thickTop="1">
      <c r="A25" s="341">
        <v>19</v>
      </c>
      <c r="B25" s="31" t="s">
        <v>138</v>
      </c>
      <c r="C25" s="238" t="s">
        <v>56</v>
      </c>
      <c r="D25" s="27">
        <v>100</v>
      </c>
      <c r="E25" s="28">
        <f>D25*0.0293</f>
        <v>2.93</v>
      </c>
      <c r="F25" s="28">
        <f>D25*0.0733</f>
        <v>7.33</v>
      </c>
      <c r="G25" s="28">
        <f>D25*0.1466</f>
        <v>14.66</v>
      </c>
      <c r="H25" s="28"/>
      <c r="I25" s="337"/>
    </row>
    <row r="26" spans="1:9" ht="39.75" customHeight="1">
      <c r="A26" s="342">
        <v>20</v>
      </c>
      <c r="B26" s="20" t="s">
        <v>306</v>
      </c>
      <c r="C26" s="239" t="s">
        <v>56</v>
      </c>
      <c r="D26" s="27">
        <v>100</v>
      </c>
      <c r="E26" s="23">
        <f>D26*0.002</f>
        <v>0.2</v>
      </c>
      <c r="F26" s="23"/>
      <c r="G26" s="23"/>
      <c r="H26" s="22">
        <f>D26*2.66</f>
        <v>266</v>
      </c>
      <c r="I26" s="335"/>
    </row>
    <row r="27" spans="1:9" ht="39.75" customHeight="1">
      <c r="A27" s="342">
        <v>21</v>
      </c>
      <c r="B27" s="20" t="s">
        <v>307</v>
      </c>
      <c r="C27" s="239" t="s">
        <v>56</v>
      </c>
      <c r="D27" s="27">
        <v>100</v>
      </c>
      <c r="E27" s="23">
        <f>D27*0.03</f>
        <v>3</v>
      </c>
      <c r="F27" s="23"/>
      <c r="G27" s="23"/>
      <c r="H27" s="23"/>
      <c r="I27" s="335"/>
    </row>
    <row r="28" spans="1:9" ht="39.75" customHeight="1">
      <c r="A28" s="343">
        <v>22</v>
      </c>
      <c r="B28" s="29" t="s">
        <v>308</v>
      </c>
      <c r="C28" s="240" t="s">
        <v>56</v>
      </c>
      <c r="D28" s="27">
        <v>100</v>
      </c>
      <c r="E28" s="113">
        <f>D28*0.004</f>
        <v>0.4</v>
      </c>
      <c r="F28" s="347">
        <f>D28*0.013</f>
        <v>1.3</v>
      </c>
      <c r="G28" s="113"/>
      <c r="H28" s="347"/>
      <c r="I28" s="338"/>
    </row>
    <row r="29" spans="1:9" ht="39.75" customHeight="1">
      <c r="A29" s="343">
        <v>23</v>
      </c>
      <c r="B29" s="29" t="s">
        <v>323</v>
      </c>
      <c r="C29" s="240" t="s">
        <v>56</v>
      </c>
      <c r="D29" s="27">
        <v>100</v>
      </c>
      <c r="E29" s="113"/>
      <c r="F29" s="113"/>
      <c r="G29" s="113"/>
      <c r="H29" s="113"/>
      <c r="I29" s="338"/>
    </row>
    <row r="30" spans="1:9" ht="39.75" customHeight="1">
      <c r="A30" s="343">
        <v>24</v>
      </c>
      <c r="B30" s="29" t="s">
        <v>192</v>
      </c>
      <c r="C30" s="240" t="s">
        <v>56</v>
      </c>
      <c r="D30" s="27">
        <v>100</v>
      </c>
      <c r="E30" s="113"/>
      <c r="F30" s="113"/>
      <c r="G30" s="113"/>
      <c r="H30" s="113"/>
      <c r="I30" s="338"/>
    </row>
    <row r="31" spans="1:9" ht="39.75" customHeight="1" thickBot="1">
      <c r="A31" s="343">
        <v>25</v>
      </c>
      <c r="B31" s="29" t="s">
        <v>324</v>
      </c>
      <c r="C31" s="240"/>
      <c r="D31" s="27"/>
      <c r="E31" s="113"/>
      <c r="F31" s="347"/>
      <c r="G31" s="113"/>
      <c r="H31" s="347"/>
      <c r="I31" s="338"/>
    </row>
    <row r="32" spans="1:9" ht="24.75" customHeight="1" thickBot="1" thickTop="1">
      <c r="A32" s="459" t="s">
        <v>99</v>
      </c>
      <c r="B32" s="472" t="s">
        <v>294</v>
      </c>
      <c r="C32" s="472"/>
      <c r="D32" s="472"/>
      <c r="E32" s="472"/>
      <c r="F32" s="472"/>
      <c r="G32" s="472"/>
      <c r="H32" s="472"/>
      <c r="I32" s="472"/>
    </row>
    <row r="33" spans="1:9" ht="24.75" customHeight="1" thickTop="1">
      <c r="A33" s="460"/>
      <c r="B33" s="453" t="s">
        <v>299</v>
      </c>
      <c r="C33" s="454"/>
      <c r="D33" s="454"/>
      <c r="E33" s="454"/>
      <c r="F33" s="454"/>
      <c r="G33" s="454"/>
      <c r="H33" s="454"/>
      <c r="I33" s="455"/>
    </row>
    <row r="34" spans="1:9" ht="50.25" customHeight="1" thickBot="1">
      <c r="A34" s="461"/>
      <c r="B34" s="348" t="s">
        <v>113</v>
      </c>
      <c r="C34" s="348" t="s">
        <v>298</v>
      </c>
      <c r="D34" s="348" t="s">
        <v>292</v>
      </c>
      <c r="E34" s="348" t="s">
        <v>293</v>
      </c>
      <c r="F34" s="353" t="s">
        <v>130</v>
      </c>
      <c r="G34" s="462" t="s">
        <v>321</v>
      </c>
      <c r="H34" s="463"/>
      <c r="I34" s="464"/>
    </row>
    <row r="35" spans="1:9" ht="24.75" customHeight="1" thickTop="1">
      <c r="A35" s="349"/>
      <c r="B35" s="309">
        <v>3</v>
      </c>
      <c r="C35" s="310">
        <v>0.375</v>
      </c>
      <c r="D35" s="310">
        <v>0.376</v>
      </c>
      <c r="E35" s="311">
        <f aca="true" t="shared" si="1" ref="E35:E45">D35/2.204</f>
        <v>0.17059891107078037</v>
      </c>
      <c r="F35" s="354">
        <f aca="true" t="shared" si="2" ref="F35:F45">D35*1.49</f>
        <v>0.56024</v>
      </c>
      <c r="G35" s="465"/>
      <c r="H35" s="466"/>
      <c r="I35" s="467"/>
    </row>
    <row r="36" spans="1:9" ht="24.75" customHeight="1">
      <c r="A36" s="350"/>
      <c r="B36" s="313">
        <v>4</v>
      </c>
      <c r="C36" s="307">
        <v>0.5</v>
      </c>
      <c r="D36" s="307">
        <v>0.668</v>
      </c>
      <c r="E36" s="298">
        <f t="shared" si="1"/>
        <v>0.30308529945553536</v>
      </c>
      <c r="F36" s="355">
        <f t="shared" si="2"/>
        <v>0.9953200000000001</v>
      </c>
      <c r="G36" s="465"/>
      <c r="H36" s="466"/>
      <c r="I36" s="467"/>
    </row>
    <row r="37" spans="1:9" ht="24.75" customHeight="1">
      <c r="A37" s="350"/>
      <c r="B37" s="315">
        <v>5</v>
      </c>
      <c r="C37" s="306">
        <v>0.625</v>
      </c>
      <c r="D37" s="306">
        <v>1.043</v>
      </c>
      <c r="E37" s="302">
        <f t="shared" si="1"/>
        <v>0.47323049001814876</v>
      </c>
      <c r="F37" s="356">
        <f t="shared" si="2"/>
        <v>1.5540699999999998</v>
      </c>
      <c r="G37" s="465"/>
      <c r="H37" s="466"/>
      <c r="I37" s="467"/>
    </row>
    <row r="38" spans="1:9" ht="24.75" customHeight="1">
      <c r="A38" s="350"/>
      <c r="B38" s="315">
        <v>6</v>
      </c>
      <c r="C38" s="306">
        <v>0.75</v>
      </c>
      <c r="D38" s="306">
        <v>1.502</v>
      </c>
      <c r="E38" s="302">
        <f t="shared" si="1"/>
        <v>0.6814882032667876</v>
      </c>
      <c r="F38" s="357">
        <f t="shared" si="2"/>
        <v>2.23798</v>
      </c>
      <c r="G38" s="465"/>
      <c r="H38" s="466"/>
      <c r="I38" s="467"/>
    </row>
    <row r="39" spans="1:9" ht="24.75" customHeight="1">
      <c r="A39" s="350"/>
      <c r="B39" s="315">
        <v>7</v>
      </c>
      <c r="C39" s="306">
        <v>0.875</v>
      </c>
      <c r="D39" s="306">
        <v>2.044</v>
      </c>
      <c r="E39" s="302">
        <f t="shared" si="1"/>
        <v>0.9274047186932849</v>
      </c>
      <c r="F39" s="356">
        <f t="shared" si="2"/>
        <v>3.04556</v>
      </c>
      <c r="G39" s="465"/>
      <c r="H39" s="466"/>
      <c r="I39" s="467"/>
    </row>
    <row r="40" spans="1:9" ht="24.75" customHeight="1">
      <c r="A40" s="350"/>
      <c r="B40" s="313">
        <v>8</v>
      </c>
      <c r="C40" s="307">
        <v>1</v>
      </c>
      <c r="D40" s="307">
        <v>2.67</v>
      </c>
      <c r="E40" s="298">
        <f t="shared" si="1"/>
        <v>1.2114337568058076</v>
      </c>
      <c r="F40" s="358">
        <f t="shared" si="2"/>
        <v>3.9783</v>
      </c>
      <c r="G40" s="465"/>
      <c r="H40" s="466"/>
      <c r="I40" s="467"/>
    </row>
    <row r="41" spans="1:9" ht="24.75" customHeight="1">
      <c r="A41" s="350"/>
      <c r="B41" s="315">
        <v>9</v>
      </c>
      <c r="C41" s="306">
        <v>1.125</v>
      </c>
      <c r="D41" s="306">
        <v>3.4</v>
      </c>
      <c r="E41" s="302">
        <f t="shared" si="1"/>
        <v>1.542649727767695</v>
      </c>
      <c r="F41" s="357">
        <f t="shared" si="2"/>
        <v>5.066</v>
      </c>
      <c r="G41" s="465"/>
      <c r="H41" s="466"/>
      <c r="I41" s="467"/>
    </row>
    <row r="42" spans="1:9" ht="24.75" customHeight="1">
      <c r="A42" s="350"/>
      <c r="B42" s="315">
        <v>10</v>
      </c>
      <c r="C42" s="306">
        <v>1.25</v>
      </c>
      <c r="D42" s="306">
        <v>4.303</v>
      </c>
      <c r="E42" s="302">
        <f t="shared" si="1"/>
        <v>1.952359346642468</v>
      </c>
      <c r="F42" s="357">
        <f t="shared" si="2"/>
        <v>6.41147</v>
      </c>
      <c r="G42" s="465"/>
      <c r="H42" s="466"/>
      <c r="I42" s="467"/>
    </row>
    <row r="43" spans="1:9" ht="24.75" customHeight="1">
      <c r="A43" s="351"/>
      <c r="B43" s="315">
        <v>11</v>
      </c>
      <c r="C43" s="306">
        <v>1.375</v>
      </c>
      <c r="D43" s="306">
        <v>5.313</v>
      </c>
      <c r="E43" s="298">
        <f t="shared" si="1"/>
        <v>2.410617059891107</v>
      </c>
      <c r="F43" s="358">
        <f t="shared" si="2"/>
        <v>7.91637</v>
      </c>
      <c r="G43" s="465"/>
      <c r="H43" s="466"/>
      <c r="I43" s="467"/>
    </row>
    <row r="44" spans="1:9" ht="24.75" customHeight="1">
      <c r="A44" s="351"/>
      <c r="B44" s="315">
        <v>14</v>
      </c>
      <c r="C44" s="306">
        <v>1.75</v>
      </c>
      <c r="D44" s="306">
        <v>7.65</v>
      </c>
      <c r="E44" s="302">
        <f t="shared" si="1"/>
        <v>3.470961887477314</v>
      </c>
      <c r="F44" s="357">
        <f t="shared" si="2"/>
        <v>11.3985</v>
      </c>
      <c r="G44" s="465"/>
      <c r="H44" s="466"/>
      <c r="I44" s="467"/>
    </row>
    <row r="45" spans="1:9" ht="24.75" customHeight="1" thickBot="1">
      <c r="A45" s="352"/>
      <c r="B45" s="319">
        <v>18</v>
      </c>
      <c r="C45" s="320">
        <v>2.25</v>
      </c>
      <c r="D45" s="320">
        <v>13.6</v>
      </c>
      <c r="E45" s="321">
        <f t="shared" si="1"/>
        <v>6.17059891107078</v>
      </c>
      <c r="F45" s="359">
        <f t="shared" si="2"/>
        <v>20.264</v>
      </c>
      <c r="G45" s="468"/>
      <c r="H45" s="469"/>
      <c r="I45" s="470"/>
    </row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</sheetData>
  <mergeCells count="9">
    <mergeCell ref="A32:A34"/>
    <mergeCell ref="G34:I45"/>
    <mergeCell ref="C24:I24"/>
    <mergeCell ref="B32:I32"/>
    <mergeCell ref="B33:I33"/>
    <mergeCell ref="C18:I18"/>
    <mergeCell ref="A1:I1"/>
    <mergeCell ref="C11:I11"/>
    <mergeCell ref="C3:I3"/>
  </mergeCells>
  <printOptions horizontalCentered="1"/>
  <pageMargins left="0.25" right="0.25" top="0.25" bottom="0.25" header="0.5" footer="0.5"/>
  <pageSetup fitToHeight="1" fitToWidth="1" horizontalDpi="120" verticalDpi="12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">
      <selection activeCell="B7" sqref="B7"/>
    </sheetView>
  </sheetViews>
  <sheetFormatPr defaultColWidth="9.140625" defaultRowHeight="24.75" customHeight="1"/>
  <cols>
    <col min="2" max="2" width="39.28125" style="0" customWidth="1"/>
  </cols>
  <sheetData>
    <row r="1" spans="1:15" ht="24.75" customHeight="1" thickBot="1">
      <c r="A1" s="379" t="s">
        <v>54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</row>
    <row r="2" spans="1:15" ht="24.75" customHeight="1" thickBot="1" thickTop="1">
      <c r="A2" s="1" t="s">
        <v>15</v>
      </c>
      <c r="B2" s="2" t="s">
        <v>16</v>
      </c>
      <c r="C2" s="2" t="s">
        <v>17</v>
      </c>
      <c r="D2" s="2" t="s">
        <v>0</v>
      </c>
      <c r="E2" s="3" t="s">
        <v>18</v>
      </c>
      <c r="F2" s="3" t="s">
        <v>19</v>
      </c>
      <c r="G2" s="3" t="s">
        <v>20</v>
      </c>
      <c r="H2" s="3" t="s">
        <v>21</v>
      </c>
      <c r="I2" s="3" t="s">
        <v>22</v>
      </c>
      <c r="J2" s="3" t="s">
        <v>23</v>
      </c>
      <c r="K2" s="2" t="s">
        <v>24</v>
      </c>
      <c r="L2" s="2" t="s">
        <v>25</v>
      </c>
      <c r="M2" s="2" t="s">
        <v>26</v>
      </c>
      <c r="N2" s="2" t="s">
        <v>27</v>
      </c>
      <c r="O2" s="4" t="s">
        <v>28</v>
      </c>
    </row>
    <row r="3" spans="1:15" ht="24.75" customHeight="1" thickTop="1">
      <c r="A3" s="5">
        <v>1</v>
      </c>
      <c r="B3" s="6" t="s">
        <v>29</v>
      </c>
      <c r="C3" s="7" t="s">
        <v>30</v>
      </c>
      <c r="D3" s="8">
        <v>1</v>
      </c>
      <c r="E3" s="9"/>
      <c r="F3" s="9"/>
      <c r="G3" s="9"/>
      <c r="H3" s="9"/>
      <c r="I3" s="9"/>
      <c r="J3" s="9">
        <f>(D3*0.3708)</f>
        <v>0.3708</v>
      </c>
      <c r="K3" s="9"/>
      <c r="L3" s="9"/>
      <c r="M3" s="9"/>
      <c r="N3" s="9"/>
      <c r="O3" s="10"/>
    </row>
    <row r="4" spans="1:15" ht="24.75" customHeight="1">
      <c r="A4" s="11">
        <f aca="true" t="shared" si="0" ref="A4:A27">A3+1</f>
        <v>2</v>
      </c>
      <c r="B4" s="12" t="s">
        <v>31</v>
      </c>
      <c r="C4" s="13" t="s">
        <v>30</v>
      </c>
      <c r="D4" s="14">
        <v>1</v>
      </c>
      <c r="E4" s="15">
        <f>D4*3.32</f>
        <v>3.32</v>
      </c>
      <c r="F4" s="15">
        <f>D4*0.462</f>
        <v>0.462</v>
      </c>
      <c r="G4" s="15">
        <f>D4*0.923</f>
        <v>0.923</v>
      </c>
      <c r="H4" s="15"/>
      <c r="I4" s="15">
        <f>D4*0.219</f>
        <v>0.219</v>
      </c>
      <c r="J4" s="15">
        <f>(D4*1.25)+(D4*0.25)</f>
        <v>1.5</v>
      </c>
      <c r="K4" s="15"/>
      <c r="L4" s="15">
        <f>D4*1</f>
        <v>1</v>
      </c>
      <c r="M4" s="15">
        <f>D4*0.5</f>
        <v>0.5</v>
      </c>
      <c r="N4" s="15"/>
      <c r="O4" s="16"/>
    </row>
    <row r="5" spans="1:15" ht="24.75" customHeight="1">
      <c r="A5" s="11">
        <v>3</v>
      </c>
      <c r="B5" s="17" t="s">
        <v>2</v>
      </c>
      <c r="C5" s="13" t="s">
        <v>30</v>
      </c>
      <c r="D5" s="14">
        <v>1</v>
      </c>
      <c r="E5" s="15">
        <f>D5*6.16</f>
        <v>6.16</v>
      </c>
      <c r="F5" s="15">
        <f>D5*0.429</f>
        <v>0.429</v>
      </c>
      <c r="G5" s="15">
        <f>D5*0.857</f>
        <v>0.857</v>
      </c>
      <c r="H5" s="15"/>
      <c r="I5" s="15">
        <f>D5*(0.219)</f>
        <v>0.219</v>
      </c>
      <c r="J5" s="15">
        <f>D5*(1.25+0.25)</f>
        <v>1.5</v>
      </c>
      <c r="K5" s="15"/>
      <c r="L5" s="15">
        <f>D5*1</f>
        <v>1</v>
      </c>
      <c r="M5" s="15">
        <f>D5*0.5</f>
        <v>0.5</v>
      </c>
      <c r="N5" s="15"/>
      <c r="O5" s="16"/>
    </row>
    <row r="6" spans="1:15" ht="24.75" customHeight="1">
      <c r="A6" s="11">
        <v>4</v>
      </c>
      <c r="B6" s="12" t="s">
        <v>4</v>
      </c>
      <c r="C6" s="13" t="s">
        <v>32</v>
      </c>
      <c r="D6" s="14">
        <v>1</v>
      </c>
      <c r="E6" s="15">
        <f>D6*0.31538</f>
        <v>0.31538</v>
      </c>
      <c r="F6" s="15">
        <f>D6*0.02284</f>
        <v>0.02284</v>
      </c>
      <c r="G6" s="15">
        <f>D6*0.04568</f>
        <v>0.04568</v>
      </c>
      <c r="H6" s="15"/>
      <c r="I6" s="15">
        <f>(D6*0.05382)+(D6*0.01615)</f>
        <v>0.06997</v>
      </c>
      <c r="J6" s="15">
        <f>(D6*0.10764)+(D6*0.10764)+(D6*0.02691)</f>
        <v>0.24219</v>
      </c>
      <c r="K6" s="15"/>
      <c r="L6" s="15"/>
      <c r="M6" s="15"/>
      <c r="N6" s="15"/>
      <c r="O6" s="16"/>
    </row>
    <row r="7" spans="1:15" ht="24.75" customHeight="1">
      <c r="A7" s="11">
        <f t="shared" si="0"/>
        <v>5</v>
      </c>
      <c r="B7" s="12" t="s">
        <v>5</v>
      </c>
      <c r="C7" s="13" t="s">
        <v>30</v>
      </c>
      <c r="D7" s="14">
        <v>1</v>
      </c>
      <c r="E7" s="15">
        <f>D7*1.23433</f>
        <v>1.23433</v>
      </c>
      <c r="F7" s="15">
        <f>D7*0.277</f>
        <v>0.277</v>
      </c>
      <c r="G7" s="15"/>
      <c r="H7" s="15">
        <f>D7*476.7525</f>
        <v>476.7525</v>
      </c>
      <c r="I7" s="15">
        <f>D7*0.7063</f>
        <v>0.7063</v>
      </c>
      <c r="J7" s="15">
        <f>(D7*1.17599)+(D7*0.26486)</f>
        <v>1.4408500000000002</v>
      </c>
      <c r="K7" s="15"/>
      <c r="L7" s="15"/>
      <c r="M7" s="15"/>
      <c r="N7" s="15"/>
      <c r="O7" s="16"/>
    </row>
    <row r="8" spans="1:15" ht="24.75" customHeight="1">
      <c r="A8" s="11">
        <f t="shared" si="0"/>
        <v>6</v>
      </c>
      <c r="B8" s="18" t="s">
        <v>33</v>
      </c>
      <c r="C8" s="13" t="s">
        <v>30</v>
      </c>
      <c r="D8" s="14">
        <v>1</v>
      </c>
      <c r="E8" s="15">
        <f>D8*1.21484</f>
        <v>1.21484</v>
      </c>
      <c r="F8" s="15">
        <f>D8*0.257</f>
        <v>0.257</v>
      </c>
      <c r="G8" s="15"/>
      <c r="H8" s="15">
        <f>D8*476.7525</f>
        <v>476.7525</v>
      </c>
      <c r="I8" s="15">
        <f>D8*0.88287</f>
        <v>0.88287</v>
      </c>
      <c r="J8" s="15">
        <f>D8*(0.26486+1.70745)</f>
        <v>1.9723099999999998</v>
      </c>
      <c r="K8" s="15"/>
      <c r="L8" s="15"/>
      <c r="M8" s="15"/>
      <c r="N8" s="15"/>
      <c r="O8" s="16"/>
    </row>
    <row r="9" spans="1:15" ht="24.75" customHeight="1">
      <c r="A9" s="11">
        <f t="shared" si="0"/>
        <v>7</v>
      </c>
      <c r="B9" s="12" t="s">
        <v>34</v>
      </c>
      <c r="C9" s="13" t="s">
        <v>30</v>
      </c>
      <c r="D9" s="14">
        <v>1</v>
      </c>
      <c r="E9" s="15">
        <f>D9*1.69512</f>
        <v>1.69512</v>
      </c>
      <c r="F9" s="15">
        <f>D9*0.24</f>
        <v>0.24</v>
      </c>
      <c r="G9" s="15"/>
      <c r="H9" s="15">
        <f>D9*476.7525</f>
        <v>476.7525</v>
      </c>
      <c r="I9" s="15">
        <f>D9*0.88287</f>
        <v>0.88287</v>
      </c>
      <c r="J9" s="15">
        <f>D9*(1.70571+0.26486)</f>
        <v>1.97057</v>
      </c>
      <c r="K9" s="15"/>
      <c r="L9" s="15"/>
      <c r="M9" s="15"/>
      <c r="N9" s="15"/>
      <c r="O9" s="16"/>
    </row>
    <row r="10" spans="1:15" ht="24.75" customHeight="1">
      <c r="A10" s="11">
        <v>8</v>
      </c>
      <c r="B10" s="12" t="s">
        <v>35</v>
      </c>
      <c r="C10" s="13" t="s">
        <v>30</v>
      </c>
      <c r="D10" s="14">
        <v>1</v>
      </c>
      <c r="E10" s="15"/>
      <c r="F10" s="15"/>
      <c r="G10" s="15"/>
      <c r="H10" s="15"/>
      <c r="I10" s="15">
        <f>D10*0.08827</f>
        <v>0.08827</v>
      </c>
      <c r="J10" s="15">
        <f>D10*0.35315</f>
        <v>0.35315</v>
      </c>
      <c r="K10" s="15"/>
      <c r="L10" s="15"/>
      <c r="M10" s="15"/>
      <c r="N10" s="15"/>
      <c r="O10" s="16"/>
    </row>
    <row r="11" spans="1:15" ht="24.75" customHeight="1">
      <c r="A11" s="11">
        <v>9</v>
      </c>
      <c r="B11" s="12" t="s">
        <v>36</v>
      </c>
      <c r="C11" s="13" t="s">
        <v>30</v>
      </c>
      <c r="D11" s="14">
        <v>1</v>
      </c>
      <c r="E11" s="15"/>
      <c r="F11" s="15"/>
      <c r="G11" s="15"/>
      <c r="H11" s="15"/>
      <c r="I11" s="15">
        <f>D11*0.08827</f>
        <v>0.08827</v>
      </c>
      <c r="J11" s="15">
        <f>D11*0.35315</f>
        <v>0.35315</v>
      </c>
      <c r="K11" s="15"/>
      <c r="L11" s="15"/>
      <c r="M11" s="15"/>
      <c r="N11" s="15"/>
      <c r="O11" s="16"/>
    </row>
    <row r="12" spans="1:15" ht="24.75" customHeight="1">
      <c r="A12" s="11">
        <f t="shared" si="0"/>
        <v>10</v>
      </c>
      <c r="B12" s="12" t="s">
        <v>104</v>
      </c>
      <c r="C12" s="13" t="s">
        <v>30</v>
      </c>
      <c r="D12" s="14">
        <v>1</v>
      </c>
      <c r="E12" s="15">
        <f>D12*6.16</f>
        <v>6.16</v>
      </c>
      <c r="F12" s="15">
        <f>D12*0.429</f>
        <v>0.429</v>
      </c>
      <c r="G12" s="15">
        <f>D12*0.857</f>
        <v>0.857</v>
      </c>
      <c r="H12" s="15"/>
      <c r="I12" s="15">
        <f>(D12*0.339)+(D12*0.032)</f>
        <v>0.371</v>
      </c>
      <c r="J12" s="15">
        <f>(D12*2.6)+(D12*0.531)</f>
        <v>3.1310000000000002</v>
      </c>
      <c r="K12" s="15">
        <f>D12*2.67</f>
        <v>2.67</v>
      </c>
      <c r="L12" s="15">
        <f>D12*1</f>
        <v>1</v>
      </c>
      <c r="M12" s="15">
        <f>D12*0.5</f>
        <v>0.5</v>
      </c>
      <c r="N12" s="15"/>
      <c r="O12" s="16"/>
    </row>
    <row r="13" spans="1:15" ht="24.75" customHeight="1">
      <c r="A13" s="11">
        <v>11</v>
      </c>
      <c r="B13" s="12" t="s">
        <v>37</v>
      </c>
      <c r="C13" s="13" t="s">
        <v>30</v>
      </c>
      <c r="D13" s="14">
        <v>5</v>
      </c>
      <c r="E13" s="15"/>
      <c r="F13" s="15"/>
      <c r="G13" s="15"/>
      <c r="H13" s="15"/>
      <c r="I13" s="15"/>
      <c r="J13" s="15">
        <f>D13*1.5</f>
        <v>7.5</v>
      </c>
      <c r="K13" s="15"/>
      <c r="L13" s="15"/>
      <c r="M13" s="15"/>
      <c r="N13" s="15"/>
      <c r="O13" s="16"/>
    </row>
    <row r="14" spans="1:15" ht="24.75" customHeight="1">
      <c r="A14" s="11">
        <f t="shared" si="0"/>
        <v>12</v>
      </c>
      <c r="B14" s="12" t="s">
        <v>6</v>
      </c>
      <c r="C14" s="13" t="s">
        <v>30</v>
      </c>
      <c r="D14" s="14">
        <v>1</v>
      </c>
      <c r="E14" s="15"/>
      <c r="F14" s="15"/>
      <c r="G14" s="15"/>
      <c r="H14" s="15"/>
      <c r="I14" s="15">
        <f>D14*0.35315</f>
        <v>0.35315</v>
      </c>
      <c r="J14" s="15">
        <f>D14*0.7063</f>
        <v>0.7063</v>
      </c>
      <c r="K14" s="15"/>
      <c r="L14" s="15"/>
      <c r="M14" s="15"/>
      <c r="N14" s="15"/>
      <c r="O14" s="16"/>
    </row>
    <row r="15" spans="1:15" ht="24.75" customHeight="1">
      <c r="A15" s="11">
        <f t="shared" si="0"/>
        <v>13</v>
      </c>
      <c r="B15" s="12" t="s">
        <v>9</v>
      </c>
      <c r="C15" s="13" t="s">
        <v>32</v>
      </c>
      <c r="D15" s="14">
        <v>1</v>
      </c>
      <c r="E15" s="15">
        <f>D15*0.086</f>
        <v>0.086</v>
      </c>
      <c r="F15" s="15">
        <f>D15*0.012</f>
        <v>0.012</v>
      </c>
      <c r="G15" s="15"/>
      <c r="H15" s="15"/>
      <c r="I15" s="15">
        <f>D15*0.129</f>
        <v>0.129</v>
      </c>
      <c r="J15" s="15">
        <f>(D15*0.129)+(D15*0.079)+(D15*0.079)</f>
        <v>0.28700000000000003</v>
      </c>
      <c r="K15" s="15"/>
      <c r="L15" s="15"/>
      <c r="M15" s="15"/>
      <c r="N15" s="15"/>
      <c r="O15" s="19">
        <f>37.674*D15</f>
        <v>37.674</v>
      </c>
    </row>
    <row r="16" spans="1:15" ht="24.75" customHeight="1">
      <c r="A16" s="11">
        <f t="shared" si="0"/>
        <v>14</v>
      </c>
      <c r="B16" s="12" t="s">
        <v>10</v>
      </c>
      <c r="C16" s="13" t="s">
        <v>32</v>
      </c>
      <c r="D16" s="14">
        <v>1</v>
      </c>
      <c r="E16" s="15"/>
      <c r="F16" s="15"/>
      <c r="G16" s="15"/>
      <c r="H16" s="15"/>
      <c r="I16" s="15"/>
      <c r="J16" s="15">
        <f>J15*0.5</f>
        <v>0.14350000000000002</v>
      </c>
      <c r="K16" s="15"/>
      <c r="L16" s="15"/>
      <c r="M16" s="15"/>
      <c r="N16" s="15"/>
      <c r="O16" s="16"/>
    </row>
    <row r="17" spans="1:15" ht="24.75" customHeight="1">
      <c r="A17" s="11">
        <f t="shared" si="0"/>
        <v>15</v>
      </c>
      <c r="B17" s="12" t="s">
        <v>11</v>
      </c>
      <c r="C17" s="13" t="s">
        <v>41</v>
      </c>
      <c r="D17" s="14">
        <v>1</v>
      </c>
      <c r="E17" s="15">
        <f>D17*0.25</f>
        <v>0.25</v>
      </c>
      <c r="F17" s="15">
        <f>D17*0.021</f>
        <v>0.021</v>
      </c>
      <c r="G17" s="15">
        <f>D17*0.042</f>
        <v>0.042</v>
      </c>
      <c r="H17" s="15"/>
      <c r="I17" s="15">
        <f>D17*0.125</f>
        <v>0.125</v>
      </c>
      <c r="J17" s="15">
        <f>D17*(0.25+0.025)</f>
        <v>0.275</v>
      </c>
      <c r="K17" s="15"/>
      <c r="L17" s="15"/>
      <c r="M17" s="15"/>
      <c r="N17" s="15"/>
      <c r="O17" s="16"/>
    </row>
    <row r="18" spans="1:15" ht="24.75" customHeight="1">
      <c r="A18" s="11">
        <f t="shared" si="0"/>
        <v>16</v>
      </c>
      <c r="B18" s="12" t="s">
        <v>12</v>
      </c>
      <c r="C18" s="13" t="s">
        <v>41</v>
      </c>
      <c r="D18" s="14">
        <v>1</v>
      </c>
      <c r="E18" s="15">
        <f>D18*0.35</f>
        <v>0.35</v>
      </c>
      <c r="F18" s="15">
        <f>D18*0.049</f>
        <v>0.049</v>
      </c>
      <c r="G18" s="15">
        <f>D18*0.1</f>
        <v>0.1</v>
      </c>
      <c r="H18" s="15">
        <f>D18*50</f>
        <v>50</v>
      </c>
      <c r="I18" s="15">
        <f>D18*0.175</f>
        <v>0.175</v>
      </c>
      <c r="J18" s="15">
        <f>D18*(0.35+0.035)</f>
        <v>0.385</v>
      </c>
      <c r="K18" s="15"/>
      <c r="L18" s="15"/>
      <c r="M18" s="15"/>
      <c r="N18" s="15"/>
      <c r="O18" s="16"/>
    </row>
    <row r="19" spans="1:15" ht="24.75" customHeight="1">
      <c r="A19" s="11">
        <v>17</v>
      </c>
      <c r="B19" s="12" t="s">
        <v>39</v>
      </c>
      <c r="C19" s="13" t="s">
        <v>32</v>
      </c>
      <c r="D19" s="14">
        <v>1</v>
      </c>
      <c r="E19" s="15">
        <f>D19*0.0629</f>
        <v>0.0629</v>
      </c>
      <c r="F19" s="15">
        <f>D19*0.0085</f>
        <v>0.0085</v>
      </c>
      <c r="G19" s="15"/>
      <c r="H19" s="15"/>
      <c r="I19" s="15">
        <f>D19*0.064</f>
        <v>0.064</v>
      </c>
      <c r="J19" s="15">
        <f>D19*(0.086+0.043)</f>
        <v>0.129</v>
      </c>
      <c r="K19" s="15"/>
      <c r="L19" s="15"/>
      <c r="M19" s="15"/>
      <c r="N19" s="15"/>
      <c r="O19" s="16"/>
    </row>
    <row r="20" spans="1:15" ht="24.75" customHeight="1">
      <c r="A20" s="11">
        <f t="shared" si="0"/>
        <v>18</v>
      </c>
      <c r="B20" s="12" t="s">
        <v>40</v>
      </c>
      <c r="C20" s="13" t="s">
        <v>32</v>
      </c>
      <c r="D20" s="14">
        <v>1</v>
      </c>
      <c r="E20" s="15">
        <f>D20*0.0465</f>
        <v>0.0465</v>
      </c>
      <c r="F20" s="15">
        <f>D20*0.0049</f>
        <v>0.0049</v>
      </c>
      <c r="G20" s="15"/>
      <c r="H20" s="15"/>
      <c r="I20" s="15">
        <f>D20*0.086</f>
        <v>0.086</v>
      </c>
      <c r="J20" s="15">
        <f>D20*(0.086+0.022)</f>
        <v>0.10799999999999998</v>
      </c>
      <c r="K20" s="15"/>
      <c r="L20" s="15"/>
      <c r="M20" s="15"/>
      <c r="N20" s="15"/>
      <c r="O20" s="16"/>
    </row>
    <row r="21" spans="1:15" ht="24.75" customHeight="1">
      <c r="A21" s="11">
        <f t="shared" si="0"/>
        <v>19</v>
      </c>
      <c r="B21" s="12" t="s">
        <v>1</v>
      </c>
      <c r="C21" s="13" t="s">
        <v>30</v>
      </c>
      <c r="D21" s="14">
        <v>1</v>
      </c>
      <c r="E21" s="15"/>
      <c r="F21" s="15"/>
      <c r="G21" s="15"/>
      <c r="H21" s="15"/>
      <c r="I21" s="15"/>
      <c r="J21" s="15">
        <f>(D21*0.1236)+(D21*0.03531)+(D21*0.01766)</f>
        <v>0.17657</v>
      </c>
      <c r="K21" s="15"/>
      <c r="L21" s="15"/>
      <c r="M21" s="15"/>
      <c r="N21" s="15"/>
      <c r="O21" s="16"/>
    </row>
    <row r="22" spans="1:15" ht="24.75" customHeight="1">
      <c r="A22" s="11">
        <v>20</v>
      </c>
      <c r="B22" s="12" t="s">
        <v>7</v>
      </c>
      <c r="C22" s="13" t="s">
        <v>30</v>
      </c>
      <c r="D22" s="14">
        <v>1</v>
      </c>
      <c r="E22" s="15"/>
      <c r="F22" s="15">
        <f>D22*1.5</f>
        <v>1.5</v>
      </c>
      <c r="G22" s="15"/>
      <c r="H22" s="15"/>
      <c r="I22" s="15">
        <f>D22*0.35315</f>
        <v>0.35315</v>
      </c>
      <c r="J22" s="15">
        <f>D22*(0.17655+0.7063)</f>
        <v>0.88285</v>
      </c>
      <c r="K22" s="15"/>
      <c r="L22" s="15"/>
      <c r="M22" s="15"/>
      <c r="N22" s="15"/>
      <c r="O22" s="16"/>
    </row>
    <row r="23" spans="1:15" ht="24.75" customHeight="1">
      <c r="A23" s="11">
        <f t="shared" si="0"/>
        <v>21</v>
      </c>
      <c r="B23" s="12" t="s">
        <v>8</v>
      </c>
      <c r="C23" s="13" t="s">
        <v>30</v>
      </c>
      <c r="D23" s="14">
        <v>1</v>
      </c>
      <c r="E23" s="15"/>
      <c r="F23" s="15"/>
      <c r="G23" s="15"/>
      <c r="H23" s="15"/>
      <c r="I23" s="15">
        <f>I22*0.5</f>
        <v>0.176575</v>
      </c>
      <c r="J23" s="15">
        <f>J22*0.5</f>
        <v>0.441425</v>
      </c>
      <c r="K23" s="15"/>
      <c r="L23" s="15"/>
      <c r="M23" s="15"/>
      <c r="N23" s="15"/>
      <c r="O23" s="16"/>
    </row>
    <row r="24" spans="1:15" ht="24.75" customHeight="1">
      <c r="A24" s="11">
        <f t="shared" si="0"/>
        <v>22</v>
      </c>
      <c r="B24" s="12" t="s">
        <v>13</v>
      </c>
      <c r="C24" s="13" t="s">
        <v>32</v>
      </c>
      <c r="D24" s="14">
        <v>1</v>
      </c>
      <c r="E24" s="15">
        <f>D24*0.3229</f>
        <v>0.3229</v>
      </c>
      <c r="F24" s="15">
        <f>D24*0.02286</f>
        <v>0.02286</v>
      </c>
      <c r="G24" s="15">
        <f>D24*0.0457</f>
        <v>0.0457</v>
      </c>
      <c r="H24" s="15"/>
      <c r="I24" s="15">
        <f>(D24*0.16146)+(D24*0.02691)</f>
        <v>0.18836999999999998</v>
      </c>
      <c r="J24" s="15">
        <f>(D24*0.16146)+(D24*0.05381)+(D24*0.10764)</f>
        <v>0.32291</v>
      </c>
      <c r="K24" s="15"/>
      <c r="L24" s="15"/>
      <c r="M24" s="15"/>
      <c r="N24" s="15"/>
      <c r="O24" s="16"/>
    </row>
    <row r="25" spans="1:15" ht="24.75" customHeight="1">
      <c r="A25" s="11">
        <f t="shared" si="0"/>
        <v>23</v>
      </c>
      <c r="B25" s="12" t="s">
        <v>14</v>
      </c>
      <c r="C25" s="13" t="s">
        <v>38</v>
      </c>
      <c r="D25" s="14">
        <v>1</v>
      </c>
      <c r="E25" s="15"/>
      <c r="F25" s="15"/>
      <c r="G25" s="15"/>
      <c r="H25" s="15"/>
      <c r="I25" s="15">
        <f>D25*0.0007</f>
        <v>0.0007</v>
      </c>
      <c r="J25" s="15">
        <f>D25*0.003</f>
        <v>0.003</v>
      </c>
      <c r="K25" s="15"/>
      <c r="L25" s="15"/>
      <c r="M25" s="15"/>
      <c r="N25" s="15"/>
      <c r="O25" s="16"/>
    </row>
    <row r="26" spans="1:15" ht="24.75" customHeight="1">
      <c r="A26" s="11">
        <v>24</v>
      </c>
      <c r="B26" s="12" t="s">
        <v>3</v>
      </c>
      <c r="C26" s="13" t="s">
        <v>30</v>
      </c>
      <c r="D26" s="14">
        <v>1</v>
      </c>
      <c r="E26" s="15">
        <f>D26*4.32</f>
        <v>4.32</v>
      </c>
      <c r="F26" s="15">
        <f>D26*0.45</f>
        <v>0.45</v>
      </c>
      <c r="G26" s="15">
        <f>D26*0.9</f>
        <v>0.9</v>
      </c>
      <c r="H26" s="15"/>
      <c r="I26" s="15">
        <f>D26*0.219</f>
        <v>0.219</v>
      </c>
      <c r="J26" s="15">
        <f>(D26*1.25)+(D26*0.25)</f>
        <v>1.5</v>
      </c>
      <c r="K26" s="15"/>
      <c r="L26" s="15">
        <f>D26*1</f>
        <v>1</v>
      </c>
      <c r="M26" s="15">
        <f>D26*0.5</f>
        <v>0.5</v>
      </c>
      <c r="N26" s="15"/>
      <c r="O26" s="16"/>
    </row>
    <row r="27" spans="1:15" ht="24.75" customHeight="1">
      <c r="A27" s="11">
        <f t="shared" si="0"/>
        <v>25</v>
      </c>
      <c r="B27" s="12" t="s">
        <v>42</v>
      </c>
      <c r="C27" s="13" t="s">
        <v>32</v>
      </c>
      <c r="D27" s="14">
        <v>1</v>
      </c>
      <c r="E27" s="15">
        <f>D27*0.32229</f>
        <v>0.32229</v>
      </c>
      <c r="F27" s="15">
        <f>D27*0.01524</f>
        <v>0.01524</v>
      </c>
      <c r="G27" s="15"/>
      <c r="H27" s="15"/>
      <c r="I27" s="15">
        <f>D27*(0.75348+0.15146)</f>
        <v>0.9049400000000001</v>
      </c>
      <c r="J27" s="15">
        <f>(D27*0.21528)+(D27*0.10764)+(D27*0.10764)</f>
        <v>0.43056</v>
      </c>
      <c r="K27" s="15"/>
      <c r="L27" s="15"/>
      <c r="M27" s="15"/>
      <c r="N27" s="15"/>
      <c r="O27" s="16"/>
    </row>
  </sheetData>
  <mergeCells count="1">
    <mergeCell ref="A1:O1"/>
  </mergeCells>
  <printOptions/>
  <pageMargins left="0.75" right="0.75" top="0.25" bottom="1" header="0.5" footer="0.5"/>
  <pageSetup horizontalDpi="120" verticalDpi="12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view="pageBreakPreview" zoomScale="75" zoomScaleSheetLayoutView="75" workbookViewId="0" topLeftCell="A1">
      <selection activeCell="D44" sqref="D44"/>
    </sheetView>
  </sheetViews>
  <sheetFormatPr defaultColWidth="9.140625" defaultRowHeight="24.75" customHeight="1"/>
  <cols>
    <col min="2" max="2" width="45.140625" style="0" customWidth="1"/>
    <col min="3" max="3" width="11.57421875" style="0" bestFit="1" customWidth="1"/>
    <col min="4" max="4" width="15.7109375" style="0" customWidth="1"/>
    <col min="5" max="5" width="14.8515625" style="0" customWidth="1"/>
    <col min="6" max="6" width="15.7109375" style="0" customWidth="1"/>
    <col min="7" max="7" width="16.421875" style="0" customWidth="1"/>
    <col min="8" max="8" width="14.421875" style="0" customWidth="1"/>
    <col min="9" max="9" width="14.28125" style="0" customWidth="1"/>
  </cols>
  <sheetData>
    <row r="1" spans="1:9" ht="24.75" customHeight="1" thickBot="1" thickTop="1">
      <c r="A1" s="380" t="s">
        <v>102</v>
      </c>
      <c r="B1" s="381"/>
      <c r="C1" s="381"/>
      <c r="D1" s="381"/>
      <c r="E1" s="381"/>
      <c r="F1" s="381"/>
      <c r="G1" s="381"/>
      <c r="H1" s="381"/>
      <c r="I1" s="382"/>
    </row>
    <row r="2" spans="1:9" ht="6.75" customHeight="1" hidden="1" thickBot="1">
      <c r="A2" s="383"/>
      <c r="B2" s="384"/>
      <c r="C2" s="384"/>
      <c r="D2" s="384"/>
      <c r="E2" s="384"/>
      <c r="F2" s="384"/>
      <c r="G2" s="384"/>
      <c r="H2" s="384"/>
      <c r="I2" s="385"/>
    </row>
    <row r="3" spans="1:9" ht="19.5" customHeight="1" thickBot="1" thickTop="1">
      <c r="A3" s="392" t="s">
        <v>90</v>
      </c>
      <c r="B3" s="395" t="s">
        <v>86</v>
      </c>
      <c r="C3" s="397" t="s">
        <v>45</v>
      </c>
      <c r="D3" s="394" t="s">
        <v>18</v>
      </c>
      <c r="E3" s="394"/>
      <c r="F3" s="387" t="s">
        <v>76</v>
      </c>
      <c r="G3" s="389" t="s">
        <v>77</v>
      </c>
      <c r="H3" s="390" t="s">
        <v>94</v>
      </c>
      <c r="I3" s="391"/>
    </row>
    <row r="4" spans="1:9" ht="20.25" customHeight="1" thickBot="1">
      <c r="A4" s="393"/>
      <c r="B4" s="396"/>
      <c r="C4" s="398"/>
      <c r="D4" s="90" t="s">
        <v>78</v>
      </c>
      <c r="E4" s="89" t="s">
        <v>79</v>
      </c>
      <c r="F4" s="388"/>
      <c r="G4" s="375"/>
      <c r="H4" s="90" t="s">
        <v>78</v>
      </c>
      <c r="I4" s="95" t="s">
        <v>79</v>
      </c>
    </row>
    <row r="5" spans="1:9" ht="24.75" customHeight="1" thickTop="1">
      <c r="A5" s="103">
        <v>1</v>
      </c>
      <c r="B5" s="31" t="s">
        <v>43</v>
      </c>
      <c r="C5" s="36">
        <v>100</v>
      </c>
      <c r="D5" s="39">
        <f>C5*0.095</f>
        <v>9.5</v>
      </c>
      <c r="E5" s="40">
        <f>C5*3.35</f>
        <v>335</v>
      </c>
      <c r="F5" s="46">
        <f>C5*0.474</f>
        <v>47.4</v>
      </c>
      <c r="G5" s="49">
        <f>C5*0.947</f>
        <v>94.69999999999999</v>
      </c>
      <c r="H5" s="166">
        <f>C5*0.00223</f>
        <v>0.22300000000000003</v>
      </c>
      <c r="I5" s="167">
        <f>C5*0.0785</f>
        <v>7.85</v>
      </c>
    </row>
    <row r="6" spans="1:9" ht="24.75" customHeight="1">
      <c r="A6" s="104">
        <v>2</v>
      </c>
      <c r="B6" s="32" t="s">
        <v>44</v>
      </c>
      <c r="C6" s="37">
        <v>100</v>
      </c>
      <c r="D6" s="41">
        <f>C6*0.13</f>
        <v>13</v>
      </c>
      <c r="E6" s="42">
        <f>C6*4.35</f>
        <v>434.99999999999994</v>
      </c>
      <c r="F6" s="47">
        <f>C6*0.462</f>
        <v>46.2</v>
      </c>
      <c r="G6" s="50">
        <f>C6*0.924</f>
        <v>92.4</v>
      </c>
      <c r="H6" s="168">
        <f>C6*0.00223</f>
        <v>0.22300000000000003</v>
      </c>
      <c r="I6" s="83">
        <f>C6*0.0785</f>
        <v>7.85</v>
      </c>
    </row>
    <row r="7" spans="1:9" ht="24.75" customHeight="1">
      <c r="A7" s="104">
        <v>3</v>
      </c>
      <c r="B7" s="32" t="s">
        <v>50</v>
      </c>
      <c r="C7" s="37">
        <v>100</v>
      </c>
      <c r="D7" s="41">
        <f>C7*0.176</f>
        <v>17.599999999999998</v>
      </c>
      <c r="E7" s="43">
        <f>C7*6.215</f>
        <v>621.5</v>
      </c>
      <c r="F7" s="47">
        <f>C7*0.44</f>
        <v>44</v>
      </c>
      <c r="G7" s="50">
        <f>C7*0.88</f>
        <v>88</v>
      </c>
      <c r="H7" s="168">
        <f>C7*0.00223</f>
        <v>0.22300000000000003</v>
      </c>
      <c r="I7" s="83">
        <f>C7*0.0785</f>
        <v>7.85</v>
      </c>
    </row>
    <row r="8" spans="1:9" ht="24.75" customHeight="1">
      <c r="A8" s="104">
        <v>4</v>
      </c>
      <c r="B8" s="32" t="s">
        <v>49</v>
      </c>
      <c r="C8" s="37">
        <v>100</v>
      </c>
      <c r="D8" s="41">
        <f>C8*0.225</f>
        <v>22.5</v>
      </c>
      <c r="E8" s="42">
        <f>C8*7.91</f>
        <v>791</v>
      </c>
      <c r="F8" s="47">
        <f>C8*0.42</f>
        <v>42</v>
      </c>
      <c r="G8" s="50">
        <f>C8*0.84</f>
        <v>84</v>
      </c>
      <c r="H8" s="168">
        <f>C8*0.00223</f>
        <v>0.22300000000000003</v>
      </c>
      <c r="I8" s="83">
        <f>C8*0.0785</f>
        <v>7.85</v>
      </c>
    </row>
    <row r="9" spans="1:9" ht="24.75" customHeight="1" thickBot="1">
      <c r="A9" s="105">
        <v>5</v>
      </c>
      <c r="B9" s="33" t="s">
        <v>51</v>
      </c>
      <c r="C9" s="38">
        <v>100</v>
      </c>
      <c r="D9" s="44">
        <f>C9*0.308</f>
        <v>30.8</v>
      </c>
      <c r="E9" s="45">
        <f>C9*10.87</f>
        <v>1087</v>
      </c>
      <c r="F9" s="48">
        <f>C9*0.385</f>
        <v>38.5</v>
      </c>
      <c r="G9" s="51">
        <f>C9*0.77</f>
        <v>77</v>
      </c>
      <c r="H9" s="169">
        <f>C9*0.00223</f>
        <v>0.22300000000000003</v>
      </c>
      <c r="I9" s="86">
        <f>C9*0.0785</f>
        <v>7.85</v>
      </c>
    </row>
    <row r="10" spans="1:9" ht="24.75" customHeight="1" thickBot="1" thickTop="1">
      <c r="A10" s="102" t="s">
        <v>91</v>
      </c>
      <c r="B10" s="386" t="s">
        <v>85</v>
      </c>
      <c r="C10" s="386"/>
      <c r="D10" s="404" t="s">
        <v>18</v>
      </c>
      <c r="E10" s="405"/>
      <c r="F10" s="99" t="s">
        <v>82</v>
      </c>
      <c r="G10" s="376" t="s">
        <v>81</v>
      </c>
      <c r="H10" s="374"/>
      <c r="I10" s="54"/>
    </row>
    <row r="11" spans="1:9" ht="20.25" customHeight="1" thickBot="1" thickTop="1">
      <c r="A11" s="103"/>
      <c r="B11" s="52"/>
      <c r="C11" s="53"/>
      <c r="D11" s="92" t="s">
        <v>78</v>
      </c>
      <c r="E11" s="94" t="s">
        <v>79</v>
      </c>
      <c r="F11" s="100" t="s">
        <v>83</v>
      </c>
      <c r="G11" s="101" t="s">
        <v>80</v>
      </c>
      <c r="H11" s="97" t="s">
        <v>79</v>
      </c>
      <c r="I11" s="84"/>
    </row>
    <row r="12" spans="1:9" ht="24.75" customHeight="1" thickTop="1">
      <c r="A12" s="104">
        <v>6</v>
      </c>
      <c r="B12" s="20" t="s">
        <v>46</v>
      </c>
      <c r="C12" s="62">
        <v>100</v>
      </c>
      <c r="D12" s="39">
        <f>C12*0.035</f>
        <v>3.5000000000000004</v>
      </c>
      <c r="E12" s="63">
        <f>C12*1.215</f>
        <v>121.50000000000001</v>
      </c>
      <c r="F12" s="76">
        <f>C12*0.2671</f>
        <v>26.71</v>
      </c>
      <c r="G12" s="73">
        <f>C12*13.5</f>
        <v>1350</v>
      </c>
      <c r="H12" s="63">
        <f>C12*477</f>
        <v>47700</v>
      </c>
      <c r="I12" s="85"/>
    </row>
    <row r="13" spans="1:9" ht="24.75" customHeight="1">
      <c r="A13" s="104">
        <v>7</v>
      </c>
      <c r="B13" s="20" t="s">
        <v>67</v>
      </c>
      <c r="C13" s="62">
        <v>100</v>
      </c>
      <c r="D13" s="41">
        <f>C13*0.04</f>
        <v>4</v>
      </c>
      <c r="E13" s="64">
        <f>C13*1.412</f>
        <v>141.2</v>
      </c>
      <c r="F13" s="77">
        <f>C13*0.25</f>
        <v>25</v>
      </c>
      <c r="G13" s="74">
        <f>C13*13.5</f>
        <v>1350</v>
      </c>
      <c r="H13" s="64">
        <f>C13*477</f>
        <v>47700</v>
      </c>
      <c r="I13" s="85"/>
    </row>
    <row r="14" spans="1:9" ht="24.75" customHeight="1">
      <c r="A14" s="104">
        <v>8</v>
      </c>
      <c r="B14" s="20" t="s">
        <v>47</v>
      </c>
      <c r="C14" s="62">
        <v>100</v>
      </c>
      <c r="D14" s="65">
        <f>C14*0.048</f>
        <v>4.8</v>
      </c>
      <c r="E14" s="66">
        <f>C14*1.69512</f>
        <v>169.512</v>
      </c>
      <c r="F14" s="77">
        <f>C14*0.24</f>
        <v>24</v>
      </c>
      <c r="G14" s="74">
        <f>C14*13.5</f>
        <v>1350</v>
      </c>
      <c r="H14" s="64">
        <f>C14*477</f>
        <v>47700</v>
      </c>
      <c r="I14" s="85"/>
    </row>
    <row r="15" spans="1:9" ht="24.75" customHeight="1" thickBot="1">
      <c r="A15" s="105">
        <v>9</v>
      </c>
      <c r="B15" s="29" t="s">
        <v>48</v>
      </c>
      <c r="C15" s="55">
        <v>100</v>
      </c>
      <c r="D15" s="44">
        <f>C15*0.06</f>
        <v>6</v>
      </c>
      <c r="E15" s="58">
        <f>C15*2.11864</f>
        <v>211.864</v>
      </c>
      <c r="F15" s="78">
        <f>C15*0.225</f>
        <v>22.5</v>
      </c>
      <c r="G15" s="75">
        <f>C15*13.5</f>
        <v>1350</v>
      </c>
      <c r="H15" s="58">
        <f>C15*477</f>
        <v>47700</v>
      </c>
      <c r="I15" s="85"/>
    </row>
    <row r="16" spans="1:9" ht="24.75" customHeight="1" thickBot="1" thickTop="1">
      <c r="A16" s="102" t="s">
        <v>92</v>
      </c>
      <c r="B16" s="412" t="s">
        <v>95</v>
      </c>
      <c r="C16" s="413"/>
      <c r="D16" s="404" t="s">
        <v>18</v>
      </c>
      <c r="E16" s="405"/>
      <c r="F16" s="410" t="s">
        <v>74</v>
      </c>
      <c r="G16" s="406" t="s">
        <v>19</v>
      </c>
      <c r="H16" s="34"/>
      <c r="I16" s="83"/>
    </row>
    <row r="17" spans="1:9" ht="18" customHeight="1" thickBot="1" thickTop="1">
      <c r="A17" s="134"/>
      <c r="B17" s="408"/>
      <c r="C17" s="409"/>
      <c r="D17" s="92" t="s">
        <v>78</v>
      </c>
      <c r="E17" s="94" t="s">
        <v>79</v>
      </c>
      <c r="F17" s="411"/>
      <c r="G17" s="407"/>
      <c r="H17" s="34"/>
      <c r="I17" s="83"/>
    </row>
    <row r="18" spans="1:9" ht="24.75" customHeight="1" thickTop="1">
      <c r="A18" s="103">
        <v>10</v>
      </c>
      <c r="B18" s="59" t="s">
        <v>66</v>
      </c>
      <c r="C18" s="27">
        <v>100</v>
      </c>
      <c r="D18" s="28">
        <f>C18*0.0077</f>
        <v>0.77</v>
      </c>
      <c r="E18" s="28">
        <f>C18*0.078</f>
        <v>7.8</v>
      </c>
      <c r="F18" s="28">
        <f>C18*0.0582</f>
        <v>5.82</v>
      </c>
      <c r="G18" s="28">
        <f>C18*0.0167</f>
        <v>1.67</v>
      </c>
      <c r="H18" s="22"/>
      <c r="I18" s="83"/>
    </row>
    <row r="19" spans="1:9" ht="24.75" customHeight="1">
      <c r="A19" s="104">
        <v>11</v>
      </c>
      <c r="B19" s="20" t="s">
        <v>57</v>
      </c>
      <c r="C19" s="21">
        <v>100</v>
      </c>
      <c r="D19" s="23">
        <f>C19*0.009</f>
        <v>0.8999999999999999</v>
      </c>
      <c r="E19" s="23">
        <f>C19*0.0918</f>
        <v>9.180000000000001</v>
      </c>
      <c r="F19" s="23">
        <f>C19*0.0566</f>
        <v>5.66</v>
      </c>
      <c r="G19" s="23">
        <f>C19*0.01625</f>
        <v>1.625</v>
      </c>
      <c r="H19" s="22"/>
      <c r="I19" s="83"/>
    </row>
    <row r="20" spans="1:9" ht="24.75" customHeight="1">
      <c r="A20" s="104">
        <v>12</v>
      </c>
      <c r="B20" s="20" t="s">
        <v>58</v>
      </c>
      <c r="C20" s="21">
        <v>100</v>
      </c>
      <c r="D20" s="23">
        <f>C20*0.0109</f>
        <v>1.09</v>
      </c>
      <c r="E20" s="23">
        <f>C20*0.11</f>
        <v>11</v>
      </c>
      <c r="F20" s="23">
        <f>C20*0.0544</f>
        <v>5.4399999999999995</v>
      </c>
      <c r="G20" s="25">
        <f>C20*0.0156</f>
        <v>1.5599999999999998</v>
      </c>
      <c r="H20" s="22"/>
      <c r="I20" s="83"/>
    </row>
    <row r="21" spans="1:9" ht="24.75" customHeight="1">
      <c r="A21" s="104">
        <v>13</v>
      </c>
      <c r="B21" s="20" t="s">
        <v>60</v>
      </c>
      <c r="C21" s="21">
        <v>100</v>
      </c>
      <c r="D21" s="23">
        <f>C21*0.0136</f>
        <v>1.3599999999999999</v>
      </c>
      <c r="E21" s="23">
        <f>C21*0.1377</f>
        <v>13.77</v>
      </c>
      <c r="F21" s="23">
        <f>C21*0.051</f>
        <v>5.1</v>
      </c>
      <c r="G21" s="25">
        <f>C21*0.0146</f>
        <v>1.46</v>
      </c>
      <c r="H21" s="22"/>
      <c r="I21" s="83"/>
    </row>
    <row r="22" spans="1:9" ht="24.75" customHeight="1">
      <c r="A22" s="104">
        <v>14</v>
      </c>
      <c r="B22" s="20" t="s">
        <v>59</v>
      </c>
      <c r="C22" s="21">
        <v>100</v>
      </c>
      <c r="D22" s="23">
        <f>C22*0.0182</f>
        <v>1.82</v>
      </c>
      <c r="E22" s="23">
        <f>C22*0.18</f>
        <v>18</v>
      </c>
      <c r="F22" s="23">
        <f>C22*0.0453</f>
        <v>4.53</v>
      </c>
      <c r="G22" s="23">
        <f>C22*0.013</f>
        <v>1.3</v>
      </c>
      <c r="H22" s="22"/>
      <c r="I22" s="83"/>
    </row>
    <row r="23" spans="1:9" ht="24.75" customHeight="1">
      <c r="A23" s="104">
        <v>15</v>
      </c>
      <c r="B23" s="20" t="s">
        <v>61</v>
      </c>
      <c r="C23" s="21">
        <v>100</v>
      </c>
      <c r="D23" s="23">
        <f>C23*0.0108</f>
        <v>1.08</v>
      </c>
      <c r="E23" s="23">
        <f>C23*0.12</f>
        <v>12</v>
      </c>
      <c r="F23" s="23">
        <f>C23*0.0805</f>
        <v>8.05</v>
      </c>
      <c r="G23" s="23">
        <f>C23*0.026</f>
        <v>2.6</v>
      </c>
      <c r="H23" s="22"/>
      <c r="I23" s="83"/>
    </row>
    <row r="24" spans="1:9" ht="24.75" customHeight="1">
      <c r="A24" s="104">
        <v>16</v>
      </c>
      <c r="B24" s="20" t="s">
        <v>62</v>
      </c>
      <c r="C24" s="21">
        <v>100</v>
      </c>
      <c r="D24" s="23">
        <f>C24*0.0125</f>
        <v>1.25</v>
      </c>
      <c r="E24" s="23">
        <f>C24*0.14</f>
        <v>14.000000000000002</v>
      </c>
      <c r="F24" s="23">
        <f>C24*0.0783</f>
        <v>7.829999999999999</v>
      </c>
      <c r="G24" s="23">
        <f>C24*0.025</f>
        <v>2.5</v>
      </c>
      <c r="H24" s="22"/>
      <c r="I24" s="83"/>
    </row>
    <row r="25" spans="1:9" ht="24.75" customHeight="1">
      <c r="A25" s="104">
        <v>17</v>
      </c>
      <c r="B25" s="20" t="s">
        <v>63</v>
      </c>
      <c r="C25" s="21">
        <v>100</v>
      </c>
      <c r="D25" s="23">
        <f>C25*0.015</f>
        <v>1.5</v>
      </c>
      <c r="E25" s="23">
        <f>C25*0.17</f>
        <v>17</v>
      </c>
      <c r="F25" s="23">
        <f>C25*0.0752</f>
        <v>7.5200000000000005</v>
      </c>
      <c r="G25" s="23">
        <f>C25*0.024</f>
        <v>2.4</v>
      </c>
      <c r="H25" s="22"/>
      <c r="I25" s="83"/>
    </row>
    <row r="26" spans="1:9" ht="24.75" customHeight="1">
      <c r="A26" s="104">
        <v>18</v>
      </c>
      <c r="B26" s="20" t="s">
        <v>64</v>
      </c>
      <c r="C26" s="21">
        <v>100</v>
      </c>
      <c r="D26" s="23">
        <f>C26*0.0188</f>
        <v>1.8800000000000001</v>
      </c>
      <c r="E26" s="23">
        <f>C26*0.22</f>
        <v>22</v>
      </c>
      <c r="F26" s="23">
        <f>C26*0.0705</f>
        <v>7.049999999999999</v>
      </c>
      <c r="G26" s="23">
        <f>C26*0.023</f>
        <v>2.3</v>
      </c>
      <c r="H26" s="22"/>
      <c r="I26" s="83"/>
    </row>
    <row r="27" spans="1:9" ht="24.75" customHeight="1">
      <c r="A27" s="104">
        <v>19</v>
      </c>
      <c r="B27" s="20" t="s">
        <v>65</v>
      </c>
      <c r="C27" s="21">
        <v>100</v>
      </c>
      <c r="D27" s="23">
        <f>C27*0.025</f>
        <v>2.5</v>
      </c>
      <c r="E27" s="23">
        <f>C27*0.28</f>
        <v>28.000000000000004</v>
      </c>
      <c r="F27" s="23">
        <f>C27*0.0626</f>
        <v>6.260000000000001</v>
      </c>
      <c r="G27" s="23">
        <f>C27*0.02</f>
        <v>2</v>
      </c>
      <c r="H27" s="22"/>
      <c r="I27" s="83"/>
    </row>
    <row r="28" spans="1:9" ht="24.75" customHeight="1">
      <c r="A28" s="104">
        <v>20</v>
      </c>
      <c r="B28" s="20" t="s">
        <v>68</v>
      </c>
      <c r="C28" s="21">
        <v>100</v>
      </c>
      <c r="D28" s="23">
        <f>C28*0.0125</f>
        <v>1.25</v>
      </c>
      <c r="E28" s="22">
        <f>C28*0.13</f>
        <v>13</v>
      </c>
      <c r="F28" s="23">
        <f>C28*0.046</f>
        <v>4.6</v>
      </c>
      <c r="G28" s="23">
        <f>C28*0.0135</f>
        <v>1.35</v>
      </c>
      <c r="H28" s="22"/>
      <c r="I28" s="83"/>
    </row>
    <row r="29" spans="1:9" ht="24.75" customHeight="1">
      <c r="A29" s="104">
        <v>21</v>
      </c>
      <c r="B29" s="20" t="s">
        <v>69</v>
      </c>
      <c r="C29" s="21">
        <v>100</v>
      </c>
      <c r="D29" s="23">
        <f>C29*0.01</f>
        <v>1</v>
      </c>
      <c r="E29" s="22">
        <f>C29*0.14</f>
        <v>14.000000000000002</v>
      </c>
      <c r="F29" s="23">
        <f>C29*0.05</f>
        <v>5</v>
      </c>
      <c r="G29" s="23">
        <f>C29*0.0144</f>
        <v>1.44</v>
      </c>
      <c r="H29" s="22"/>
      <c r="I29" s="83"/>
    </row>
    <row r="30" spans="1:9" ht="24.75" customHeight="1">
      <c r="A30" s="104">
        <v>22</v>
      </c>
      <c r="B30" s="20" t="s">
        <v>70</v>
      </c>
      <c r="C30" s="21">
        <v>100</v>
      </c>
      <c r="D30" s="23">
        <f>C30*0.00625</f>
        <v>0.625</v>
      </c>
      <c r="E30" s="23">
        <f>C30*0.07</f>
        <v>7.000000000000001</v>
      </c>
      <c r="F30" s="25">
        <f>C30*0.0234</f>
        <v>2.34</v>
      </c>
      <c r="G30" s="23">
        <f>C30*0.0075</f>
        <v>0.75</v>
      </c>
      <c r="H30" s="22"/>
      <c r="I30" s="83"/>
    </row>
    <row r="31" spans="1:9" ht="24.75" customHeight="1">
      <c r="A31" s="104">
        <v>23</v>
      </c>
      <c r="B31" s="20" t="s">
        <v>71</v>
      </c>
      <c r="C31" s="21">
        <v>100</v>
      </c>
      <c r="D31" s="23">
        <f>C31*0.005</f>
        <v>0.5</v>
      </c>
      <c r="E31" s="23">
        <f>C31*0.056</f>
        <v>5.6000000000000005</v>
      </c>
      <c r="F31" s="23">
        <f>C31*0.025</f>
        <v>2.5</v>
      </c>
      <c r="G31" s="23">
        <f>C31*0.008</f>
        <v>0.8</v>
      </c>
      <c r="H31" s="22"/>
      <c r="I31" s="83"/>
    </row>
    <row r="32" spans="1:9" ht="24.75" customHeight="1">
      <c r="A32" s="104">
        <v>24</v>
      </c>
      <c r="B32" s="20" t="s">
        <v>72</v>
      </c>
      <c r="C32" s="21">
        <v>100</v>
      </c>
      <c r="D32" s="23">
        <f>C32*0.004</f>
        <v>0.4</v>
      </c>
      <c r="E32" s="23">
        <f>C32*0.004</f>
        <v>0.4</v>
      </c>
      <c r="F32" s="23">
        <f>C32*0.0129</f>
        <v>1.29</v>
      </c>
      <c r="G32" s="23">
        <f>C32*0.0045</f>
        <v>0.44999999999999996</v>
      </c>
      <c r="H32" s="22"/>
      <c r="I32" s="83"/>
    </row>
    <row r="33" spans="1:9" ht="24.75" customHeight="1" thickBot="1">
      <c r="A33" s="106">
        <v>25</v>
      </c>
      <c r="B33" s="79" t="s">
        <v>73</v>
      </c>
      <c r="C33" s="80">
        <v>100</v>
      </c>
      <c r="D33" s="81">
        <f>C33*0.0052</f>
        <v>0.52</v>
      </c>
      <c r="E33" s="82">
        <f>C33*0.0052</f>
        <v>0.52</v>
      </c>
      <c r="F33" s="81">
        <f>C33*0.0145</f>
        <v>1.4500000000000002</v>
      </c>
      <c r="G33" s="81">
        <f>C33*0.004</f>
        <v>0.4</v>
      </c>
      <c r="H33" s="82"/>
      <c r="I33" s="86"/>
    </row>
    <row r="34" spans="1:9" ht="24.75" customHeight="1" thickBot="1" thickTop="1">
      <c r="A34" s="102" t="s">
        <v>93</v>
      </c>
      <c r="B34" s="401" t="s">
        <v>163</v>
      </c>
      <c r="C34" s="401"/>
      <c r="D34" s="399" t="s">
        <v>18</v>
      </c>
      <c r="E34" s="400"/>
      <c r="F34" s="138" t="s">
        <v>107</v>
      </c>
      <c r="G34" s="138" t="s">
        <v>108</v>
      </c>
      <c r="H34" s="139" t="s">
        <v>109</v>
      </c>
      <c r="I34" s="139" t="s">
        <v>109</v>
      </c>
    </row>
    <row r="35" spans="1:9" ht="24.75" customHeight="1" thickBot="1" thickTop="1">
      <c r="A35" s="134"/>
      <c r="B35" s="402">
        <v>1</v>
      </c>
      <c r="C35" s="403"/>
      <c r="D35" s="91" t="s">
        <v>78</v>
      </c>
      <c r="E35" s="93" t="s">
        <v>79</v>
      </c>
      <c r="F35" s="135" t="s">
        <v>78</v>
      </c>
      <c r="G35" s="136" t="s">
        <v>79</v>
      </c>
      <c r="H35" s="137" t="s">
        <v>106</v>
      </c>
      <c r="I35" s="136" t="s">
        <v>79</v>
      </c>
    </row>
    <row r="36" spans="1:9" ht="24.75" customHeight="1" thickTop="1">
      <c r="A36" s="103">
        <v>26</v>
      </c>
      <c r="B36" s="31" t="s">
        <v>52</v>
      </c>
      <c r="C36" s="140">
        <v>100</v>
      </c>
      <c r="D36" s="39">
        <f>C36*0.0297</f>
        <v>2.97</v>
      </c>
      <c r="E36" s="56">
        <f>C36*0.32</f>
        <v>32</v>
      </c>
      <c r="F36" s="69">
        <f>C36*0.0742</f>
        <v>7.42</v>
      </c>
      <c r="G36" s="71">
        <f>C36*0.023</f>
        <v>2.3</v>
      </c>
      <c r="H36" s="34">
        <f>C36*0.148</f>
        <v>14.799999999999999</v>
      </c>
      <c r="I36" s="67">
        <f>C36*0.0452</f>
        <v>4.52</v>
      </c>
    </row>
    <row r="37" spans="1:9" ht="24.75" customHeight="1" thickBot="1">
      <c r="A37" s="106">
        <v>27</v>
      </c>
      <c r="B37" s="133" t="s">
        <v>53</v>
      </c>
      <c r="C37" s="61">
        <v>100</v>
      </c>
      <c r="D37" s="57">
        <f>C37*0.0189</f>
        <v>1.8900000000000001</v>
      </c>
      <c r="E37" s="58">
        <f>C37*0.2</f>
        <v>20</v>
      </c>
      <c r="F37" s="70">
        <f>C37*0.0354</f>
        <v>3.54</v>
      </c>
      <c r="G37" s="72">
        <f>C37*0.0106</f>
        <v>1.06</v>
      </c>
      <c r="H37" s="35">
        <f>C37*0.0709</f>
        <v>7.090000000000001</v>
      </c>
      <c r="I37" s="68">
        <f>C37*0.0212</f>
        <v>2.12</v>
      </c>
    </row>
    <row r="38" spans="1:9" ht="24.75" customHeight="1" thickBot="1" thickTop="1">
      <c r="A38" s="102" t="s">
        <v>99</v>
      </c>
      <c r="B38" s="401" t="s">
        <v>105</v>
      </c>
      <c r="C38" s="401"/>
      <c r="D38" s="91" t="s">
        <v>78</v>
      </c>
      <c r="E38" s="93" t="s">
        <v>79</v>
      </c>
      <c r="F38" s="98" t="s">
        <v>84</v>
      </c>
      <c r="G38" s="96" t="s">
        <v>19</v>
      </c>
      <c r="H38" s="98" t="s">
        <v>75</v>
      </c>
      <c r="I38" s="96" t="s">
        <v>20</v>
      </c>
    </row>
    <row r="39" spans="1:9" ht="24.75" customHeight="1" thickTop="1">
      <c r="A39" s="103">
        <v>28</v>
      </c>
      <c r="B39" s="31" t="s">
        <v>138</v>
      </c>
      <c r="C39" s="60">
        <v>100</v>
      </c>
      <c r="D39" s="39">
        <f>C39*0.0297</f>
        <v>2.97</v>
      </c>
      <c r="E39" s="56">
        <f>C39*0.32</f>
        <v>32</v>
      </c>
      <c r="F39" s="69">
        <f>C39*0.0742</f>
        <v>7.42</v>
      </c>
      <c r="G39" s="71">
        <f>C39*0.025</f>
        <v>2.5</v>
      </c>
      <c r="H39" s="34">
        <f>C39*0.148</f>
        <v>14.799999999999999</v>
      </c>
      <c r="I39" s="67">
        <f>C39*0.0452</f>
        <v>4.52</v>
      </c>
    </row>
    <row r="40" spans="1:9" ht="24.75" customHeight="1" thickBot="1">
      <c r="A40" s="106">
        <v>29</v>
      </c>
      <c r="B40" s="31" t="s">
        <v>138</v>
      </c>
      <c r="C40" s="145">
        <v>100</v>
      </c>
      <c r="D40" s="146">
        <f>C40*0.0189</f>
        <v>1.8900000000000001</v>
      </c>
      <c r="E40" s="64">
        <f>C40*0.2</f>
        <v>20</v>
      </c>
      <c r="F40" s="147">
        <f>C40*0.0354</f>
        <v>3.54</v>
      </c>
      <c r="G40" s="66">
        <f>C40*0.0106</f>
        <v>1.06</v>
      </c>
      <c r="H40" s="148">
        <f>C40*0.0709</f>
        <v>7.090000000000001</v>
      </c>
      <c r="I40" s="149">
        <f>C40*0.0212</f>
        <v>2.12</v>
      </c>
    </row>
    <row r="41" spans="1:9" ht="24.75" customHeight="1" thickBot="1" thickTop="1">
      <c r="A41" s="106">
        <v>30</v>
      </c>
      <c r="B41" s="170" t="s">
        <v>139</v>
      </c>
      <c r="C41" s="145">
        <v>100</v>
      </c>
      <c r="D41" s="146">
        <f>C41*0.0315</f>
        <v>3.15</v>
      </c>
      <c r="E41" s="64">
        <f>C41*0.338</f>
        <v>33.800000000000004</v>
      </c>
      <c r="F41" s="147">
        <f>C41*0.157</f>
        <v>15.7</v>
      </c>
      <c r="G41" s="66">
        <f>C41*0.048</f>
        <v>4.8</v>
      </c>
      <c r="H41" s="35">
        <f>C41*0.315</f>
        <v>31.5</v>
      </c>
      <c r="I41" s="172">
        <f>C41*0.096</f>
        <v>9.6</v>
      </c>
    </row>
    <row r="42" spans="1:9" ht="24.75" customHeight="1" thickBot="1" thickTop="1">
      <c r="A42" s="106"/>
      <c r="B42" s="287" t="s">
        <v>111</v>
      </c>
      <c r="C42" s="288"/>
      <c r="D42" s="399"/>
      <c r="E42" s="400"/>
      <c r="F42" s="138"/>
      <c r="G42" s="138"/>
      <c r="H42" s="174" t="s">
        <v>141</v>
      </c>
      <c r="I42" s="174" t="s">
        <v>141</v>
      </c>
    </row>
    <row r="43" spans="1:9" ht="24.75" customHeight="1" thickBot="1" thickTop="1">
      <c r="A43" s="106">
        <v>31</v>
      </c>
      <c r="B43" s="171" t="s">
        <v>111</v>
      </c>
      <c r="C43" s="61">
        <v>100</v>
      </c>
      <c r="D43" s="141"/>
      <c r="E43" s="142"/>
      <c r="F43" s="143"/>
      <c r="G43" s="144"/>
      <c r="H43" s="173">
        <f>C43*2.88</f>
        <v>288</v>
      </c>
      <c r="I43" s="175">
        <f>C43*31</f>
        <v>3100</v>
      </c>
    </row>
    <row r="44" ht="24.75" customHeight="1" thickTop="1">
      <c r="F44" t="s">
        <v>140</v>
      </c>
    </row>
  </sheetData>
  <mergeCells count="21">
    <mergeCell ref="D10:E10"/>
    <mergeCell ref="G16:G17"/>
    <mergeCell ref="B17:C17"/>
    <mergeCell ref="D16:E16"/>
    <mergeCell ref="F16:F17"/>
    <mergeCell ref="B16:C16"/>
    <mergeCell ref="D42:E42"/>
    <mergeCell ref="B34:C34"/>
    <mergeCell ref="B38:C38"/>
    <mergeCell ref="B35:C35"/>
    <mergeCell ref="D34:E34"/>
    <mergeCell ref="A1:I2"/>
    <mergeCell ref="B10:C10"/>
    <mergeCell ref="F3:F4"/>
    <mergeCell ref="G3:G4"/>
    <mergeCell ref="G10:H10"/>
    <mergeCell ref="H3:I3"/>
    <mergeCell ref="A3:A4"/>
    <mergeCell ref="D3:E3"/>
    <mergeCell ref="B3:B4"/>
    <mergeCell ref="C3:C4"/>
  </mergeCells>
  <printOptions/>
  <pageMargins left="0.25" right="0.25" top="0.25" bottom="0.25" header="0.511811023622047" footer="0.511811023622047"/>
  <pageSetup horizontalDpi="120" verticalDpi="12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2"/>
  <sheetViews>
    <sheetView workbookViewId="0" topLeftCell="C1">
      <selection activeCell="D2" sqref="D2"/>
    </sheetView>
  </sheetViews>
  <sheetFormatPr defaultColWidth="9.140625" defaultRowHeight="12.75"/>
  <cols>
    <col min="2" max="2" width="12.8515625" style="0" customWidth="1"/>
    <col min="4" max="4" width="16.28125" style="0" customWidth="1"/>
    <col min="6" max="10" width="12.7109375" style="0" customWidth="1"/>
  </cols>
  <sheetData>
    <row r="2" spans="1:7" ht="12.75">
      <c r="A2" s="292" t="s">
        <v>237</v>
      </c>
      <c r="B2" s="292" t="s">
        <v>234</v>
      </c>
      <c r="C2" s="292" t="s">
        <v>235</v>
      </c>
      <c r="D2" s="292" t="s">
        <v>241</v>
      </c>
      <c r="F2" s="377" t="s">
        <v>231</v>
      </c>
      <c r="G2">
        <v>3.52</v>
      </c>
    </row>
    <row r="3" spans="1:13" ht="12.75">
      <c r="A3" s="292" t="s">
        <v>233</v>
      </c>
      <c r="B3" s="292" t="s">
        <v>234</v>
      </c>
      <c r="C3" s="292" t="s">
        <v>235</v>
      </c>
      <c r="D3" s="292" t="s">
        <v>236</v>
      </c>
      <c r="F3" s="305"/>
      <c r="G3" s="305"/>
      <c r="H3" s="305"/>
      <c r="I3" s="305"/>
      <c r="J3" s="305"/>
      <c r="K3" s="304"/>
      <c r="L3" s="304"/>
      <c r="M3" s="304"/>
    </row>
    <row r="4" spans="1:13" ht="12.75">
      <c r="A4" s="292" t="s">
        <v>238</v>
      </c>
      <c r="B4" s="292" t="s">
        <v>234</v>
      </c>
      <c r="C4" s="292" t="s">
        <v>235</v>
      </c>
      <c r="D4" s="292" t="s">
        <v>242</v>
      </c>
      <c r="F4" s="304"/>
      <c r="G4" s="304"/>
      <c r="H4" s="304"/>
      <c r="I4" s="304"/>
      <c r="J4" s="304"/>
      <c r="K4" s="304"/>
      <c r="L4" s="304"/>
      <c r="M4" s="304"/>
    </row>
    <row r="5" spans="1:13" ht="12.75">
      <c r="A5" s="292" t="s">
        <v>239</v>
      </c>
      <c r="B5" s="292" t="s">
        <v>234</v>
      </c>
      <c r="C5" s="292" t="s">
        <v>235</v>
      </c>
      <c r="D5" s="292" t="s">
        <v>243</v>
      </c>
      <c r="F5" s="304"/>
      <c r="G5" s="304"/>
      <c r="H5" s="304"/>
      <c r="I5" s="304"/>
      <c r="J5" s="304"/>
      <c r="K5" s="304"/>
      <c r="L5" s="304"/>
      <c r="M5" s="304"/>
    </row>
    <row r="6" spans="1:13" ht="12.75">
      <c r="A6" s="292" t="s">
        <v>240</v>
      </c>
      <c r="B6" s="292" t="s">
        <v>234</v>
      </c>
      <c r="C6" s="292" t="s">
        <v>235</v>
      </c>
      <c r="D6" s="292" t="s">
        <v>244</v>
      </c>
      <c r="F6" s="304"/>
      <c r="G6" s="304"/>
      <c r="H6" s="304"/>
      <c r="I6" s="304"/>
      <c r="J6" s="304"/>
      <c r="K6" s="304"/>
      <c r="L6" s="304"/>
      <c r="M6" s="304"/>
    </row>
    <row r="7" spans="1:13" ht="12.75">
      <c r="A7" s="291"/>
      <c r="B7" s="291"/>
      <c r="C7" s="291"/>
      <c r="D7" s="291"/>
      <c r="F7" s="304"/>
      <c r="G7" s="304"/>
      <c r="H7" s="304"/>
      <c r="I7" s="304"/>
      <c r="J7" s="304"/>
      <c r="K7" s="304"/>
      <c r="L7" s="304"/>
      <c r="M7" s="304"/>
    </row>
    <row r="8" spans="1:13" ht="12.75">
      <c r="A8" s="292" t="s">
        <v>231</v>
      </c>
      <c r="B8" s="292" t="s">
        <v>232</v>
      </c>
      <c r="F8" s="304"/>
      <c r="G8" s="304"/>
      <c r="H8" s="304"/>
      <c r="I8" s="304"/>
      <c r="J8" s="304"/>
      <c r="K8" s="304"/>
      <c r="L8" s="304"/>
      <c r="M8" s="304"/>
    </row>
    <row r="9" spans="1:13" ht="12.75">
      <c r="A9" s="292" t="s">
        <v>245</v>
      </c>
      <c r="B9" s="292" t="s">
        <v>246</v>
      </c>
      <c r="F9" s="304"/>
      <c r="G9" s="304"/>
      <c r="H9" s="304"/>
      <c r="I9" s="304"/>
      <c r="J9" s="304"/>
      <c r="K9" s="304"/>
      <c r="L9" s="304"/>
      <c r="M9" s="304"/>
    </row>
    <row r="10" spans="1:13" ht="12.75">
      <c r="A10" s="292" t="s">
        <v>247</v>
      </c>
      <c r="B10" s="292" t="s">
        <v>248</v>
      </c>
      <c r="F10" s="304"/>
      <c r="G10" s="304"/>
      <c r="H10" s="304"/>
      <c r="I10" s="304"/>
      <c r="J10" s="304"/>
      <c r="K10" s="304"/>
      <c r="L10" s="304"/>
      <c r="M10" s="304"/>
    </row>
    <row r="11" spans="1:13" ht="12.75">
      <c r="A11" s="292" t="s">
        <v>249</v>
      </c>
      <c r="B11" s="292" t="s">
        <v>250</v>
      </c>
      <c r="F11" s="304"/>
      <c r="G11" s="304"/>
      <c r="H11" s="304"/>
      <c r="I11" s="304"/>
      <c r="J11" s="304"/>
      <c r="K11" s="304"/>
      <c r="L11" s="304"/>
      <c r="M11" s="304"/>
    </row>
    <row r="12" spans="1:13" ht="12.75">
      <c r="A12" s="292" t="s">
        <v>251</v>
      </c>
      <c r="B12" s="292" t="s">
        <v>252</v>
      </c>
      <c r="F12" s="304"/>
      <c r="G12" s="304"/>
      <c r="H12" s="304"/>
      <c r="I12" s="304"/>
      <c r="J12" s="304"/>
      <c r="K12" s="304"/>
      <c r="L12" s="304"/>
      <c r="M12" s="304"/>
    </row>
    <row r="13" spans="1:13" ht="12.75">
      <c r="A13" s="292" t="s">
        <v>253</v>
      </c>
      <c r="B13" s="292" t="s">
        <v>254</v>
      </c>
      <c r="F13" s="304"/>
      <c r="G13" s="304"/>
      <c r="H13" s="304"/>
      <c r="I13" s="304"/>
      <c r="J13" s="304"/>
      <c r="K13" s="304"/>
      <c r="L13" s="304"/>
      <c r="M13" s="304"/>
    </row>
    <row r="14" spans="1:13" ht="12.75">
      <c r="A14" s="292" t="s">
        <v>255</v>
      </c>
      <c r="B14" s="292" t="s">
        <v>256</v>
      </c>
      <c r="F14" s="304"/>
      <c r="G14" s="304"/>
      <c r="H14" s="304"/>
      <c r="I14" s="304"/>
      <c r="J14" s="304"/>
      <c r="K14" s="304"/>
      <c r="L14" s="304"/>
      <c r="M14" s="304"/>
    </row>
    <row r="15" spans="1:13" ht="12.75">
      <c r="A15" s="292" t="s">
        <v>257</v>
      </c>
      <c r="B15" s="292" t="s">
        <v>258</v>
      </c>
      <c r="F15" s="304"/>
      <c r="G15" s="304"/>
      <c r="H15" s="304"/>
      <c r="I15" s="304"/>
      <c r="J15" s="304"/>
      <c r="K15" s="304"/>
      <c r="L15" s="304"/>
      <c r="M15" s="304"/>
    </row>
    <row r="16" spans="1:2" ht="12.75">
      <c r="A16" s="292" t="s">
        <v>259</v>
      </c>
      <c r="B16" s="292" t="s">
        <v>260</v>
      </c>
    </row>
    <row r="17" spans="1:2" ht="12.75">
      <c r="A17" s="292" t="s">
        <v>261</v>
      </c>
      <c r="B17" s="292" t="s">
        <v>262</v>
      </c>
    </row>
    <row r="18" spans="1:2" ht="12.75">
      <c r="A18" s="292" t="s">
        <v>263</v>
      </c>
      <c r="B18" s="292" t="s">
        <v>264</v>
      </c>
    </row>
    <row r="19" spans="1:2" ht="12.75">
      <c r="A19" s="292" t="s">
        <v>265</v>
      </c>
      <c r="B19" s="292" t="s">
        <v>266</v>
      </c>
    </row>
    <row r="20" spans="1:2" ht="12.75">
      <c r="A20" s="292" t="s">
        <v>267</v>
      </c>
      <c r="B20" s="292" t="s">
        <v>268</v>
      </c>
    </row>
    <row r="21" spans="1:2" ht="12.75">
      <c r="A21" s="292" t="s">
        <v>269</v>
      </c>
      <c r="B21" s="292" t="s">
        <v>270</v>
      </c>
    </row>
    <row r="22" spans="1:2" ht="12.75">
      <c r="A22" s="292" t="s">
        <v>271</v>
      </c>
      <c r="B22" s="292" t="s">
        <v>272</v>
      </c>
    </row>
    <row r="23" spans="1:2" ht="12.75">
      <c r="A23" s="292" t="s">
        <v>273</v>
      </c>
      <c r="B23" s="292" t="s">
        <v>274</v>
      </c>
    </row>
    <row r="24" spans="1:2" ht="12.75">
      <c r="A24" s="292" t="s">
        <v>275</v>
      </c>
      <c r="B24" s="292" t="s">
        <v>276</v>
      </c>
    </row>
    <row r="25" spans="1:2" ht="12.75">
      <c r="A25" s="292" t="s">
        <v>277</v>
      </c>
      <c r="B25" s="292" t="s">
        <v>278</v>
      </c>
    </row>
    <row r="26" spans="1:2" ht="12.75">
      <c r="A26" s="292" t="s">
        <v>279</v>
      </c>
      <c r="B26" s="292" t="s">
        <v>280</v>
      </c>
    </row>
    <row r="27" spans="1:2" ht="12.75">
      <c r="A27" s="292" t="s">
        <v>281</v>
      </c>
      <c r="B27" s="292" t="s">
        <v>282</v>
      </c>
    </row>
    <row r="28" spans="1:2" ht="12.75">
      <c r="A28" s="292" t="s">
        <v>283</v>
      </c>
      <c r="B28" s="292" t="s">
        <v>286</v>
      </c>
    </row>
    <row r="29" spans="1:2" ht="12.75">
      <c r="A29" s="292" t="s">
        <v>284</v>
      </c>
      <c r="B29" s="292" t="s">
        <v>285</v>
      </c>
    </row>
    <row r="30" spans="1:2" ht="12.75">
      <c r="A30" s="292" t="s">
        <v>287</v>
      </c>
      <c r="B30" s="292" t="s">
        <v>289</v>
      </c>
    </row>
    <row r="31" spans="1:2" ht="12.75">
      <c r="A31" s="292" t="s">
        <v>288</v>
      </c>
      <c r="B31" s="292" t="s">
        <v>290</v>
      </c>
    </row>
    <row r="32" spans="1:2" ht="12.75">
      <c r="A32" s="281"/>
      <c r="B32" s="281"/>
    </row>
  </sheetData>
  <printOptions horizontalCentered="1"/>
  <pageMargins left="0.25" right="0.25" top="0.5" bottom="0.5" header="0.5" footer="0.5"/>
  <pageSetup fitToHeight="1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5"/>
  <sheetViews>
    <sheetView view="pageBreakPreview" zoomScale="75" zoomScaleNormal="75" zoomScaleSheetLayoutView="75" workbookViewId="0" topLeftCell="A7">
      <selection activeCell="A10" sqref="A10"/>
    </sheetView>
  </sheetViews>
  <sheetFormatPr defaultColWidth="9.140625" defaultRowHeight="12.75"/>
  <cols>
    <col min="1" max="1" width="9.140625" style="178" customWidth="1"/>
    <col min="2" max="2" width="51.421875" style="178" customWidth="1"/>
    <col min="3" max="3" width="9.140625" style="178" customWidth="1"/>
    <col min="4" max="4" width="11.28125" style="178" customWidth="1"/>
    <col min="5" max="5" width="13.7109375" style="178" customWidth="1"/>
    <col min="6" max="6" width="13.140625" style="178" customWidth="1"/>
    <col min="7" max="7" width="14.00390625" style="178" customWidth="1"/>
    <col min="8" max="8" width="13.28125" style="178" customWidth="1"/>
    <col min="9" max="9" width="11.7109375" style="178" customWidth="1"/>
    <col min="10" max="10" width="14.7109375" style="178" customWidth="1"/>
    <col min="11" max="11" width="16.8515625" style="178" customWidth="1"/>
    <col min="12" max="16384" width="9.140625" style="178" customWidth="1"/>
  </cols>
  <sheetData>
    <row r="1" spans="1:9" ht="13.5" thickBot="1">
      <c r="A1" s="414"/>
      <c r="B1" s="414"/>
      <c r="C1" s="414"/>
      <c r="D1" s="414"/>
      <c r="E1" s="414"/>
      <c r="F1" s="414"/>
      <c r="G1" s="414"/>
      <c r="H1" s="414"/>
      <c r="I1" s="414"/>
    </row>
    <row r="2" spans="1:11" ht="39.75" customHeight="1" thickBot="1" thickTop="1">
      <c r="A2" s="421" t="s">
        <v>103</v>
      </c>
      <c r="B2" s="422"/>
      <c r="C2" s="422"/>
      <c r="D2" s="422"/>
      <c r="E2" s="422"/>
      <c r="F2" s="422"/>
      <c r="G2" s="422"/>
      <c r="H2" s="422"/>
      <c r="I2" s="422"/>
      <c r="J2" s="422"/>
      <c r="K2" s="423"/>
    </row>
    <row r="3" spans="1:11" ht="39.75" customHeight="1" thickBot="1" thickTop="1">
      <c r="A3" s="179" t="s">
        <v>15</v>
      </c>
      <c r="B3" s="180" t="s">
        <v>16</v>
      </c>
      <c r="C3" s="181" t="s">
        <v>17</v>
      </c>
      <c r="D3" s="181" t="s">
        <v>45</v>
      </c>
      <c r="E3" s="182" t="s">
        <v>18</v>
      </c>
      <c r="F3" s="182" t="s">
        <v>74</v>
      </c>
      <c r="G3" s="183" t="s">
        <v>75</v>
      </c>
      <c r="H3" s="182" t="s">
        <v>21</v>
      </c>
      <c r="I3" s="181" t="s">
        <v>27</v>
      </c>
      <c r="J3" s="184" t="s">
        <v>87</v>
      </c>
      <c r="K3" s="184" t="s">
        <v>88</v>
      </c>
    </row>
    <row r="4" spans="1:11" ht="39.75" customHeight="1" thickBot="1" thickTop="1">
      <c r="A4" s="185" t="s">
        <v>90</v>
      </c>
      <c r="B4" s="185" t="s">
        <v>86</v>
      </c>
      <c r="C4" s="424" t="s">
        <v>134</v>
      </c>
      <c r="D4" s="425"/>
      <c r="E4" s="425"/>
      <c r="F4" s="425"/>
      <c r="G4" s="425"/>
      <c r="H4" s="425"/>
      <c r="I4" s="425"/>
      <c r="J4" s="425"/>
      <c r="K4" s="426"/>
    </row>
    <row r="5" spans="1:11" ht="39.75" customHeight="1" thickTop="1">
      <c r="A5" s="109">
        <v>1</v>
      </c>
      <c r="B5" s="108" t="s">
        <v>43</v>
      </c>
      <c r="C5" s="238" t="s">
        <v>55</v>
      </c>
      <c r="D5" s="27">
        <v>100</v>
      </c>
      <c r="E5" s="107">
        <f>D5*0.095</f>
        <v>9.5</v>
      </c>
      <c r="F5" s="107">
        <f>D5*0.474</f>
        <v>47.4</v>
      </c>
      <c r="G5" s="107">
        <f>D5*0.947</f>
        <v>94.69999999999999</v>
      </c>
      <c r="H5" s="107"/>
      <c r="I5" s="107"/>
      <c r="J5" s="186">
        <f>D5*0.01</f>
        <v>1</v>
      </c>
      <c r="K5" s="187">
        <f>D5*0.03</f>
        <v>3</v>
      </c>
    </row>
    <row r="6" spans="1:11" ht="39.75" customHeight="1">
      <c r="A6" s="11">
        <v>2</v>
      </c>
      <c r="B6" s="20" t="s">
        <v>44</v>
      </c>
      <c r="C6" s="239" t="s">
        <v>55</v>
      </c>
      <c r="D6" s="21">
        <v>100</v>
      </c>
      <c r="E6" s="22">
        <f>D6*0.13</f>
        <v>13</v>
      </c>
      <c r="F6" s="22">
        <f>D6*0.462</f>
        <v>46.2</v>
      </c>
      <c r="G6" s="22">
        <f>D6*0.924</f>
        <v>92.4</v>
      </c>
      <c r="H6" s="22"/>
      <c r="I6" s="22"/>
      <c r="J6" s="188">
        <f>D6*0.01</f>
        <v>1</v>
      </c>
      <c r="K6" s="189">
        <f>D6*0.03</f>
        <v>3</v>
      </c>
    </row>
    <row r="7" spans="1:11" ht="39.75" customHeight="1">
      <c r="A7" s="11">
        <v>3</v>
      </c>
      <c r="B7" s="20" t="s">
        <v>50</v>
      </c>
      <c r="C7" s="239" t="s">
        <v>55</v>
      </c>
      <c r="D7" s="21">
        <v>100</v>
      </c>
      <c r="E7" s="22">
        <f>D7*0.176</f>
        <v>17.599999999999998</v>
      </c>
      <c r="F7" s="22">
        <f>D7*0.44</f>
        <v>44</v>
      </c>
      <c r="G7" s="22">
        <f>D7*0.88</f>
        <v>88</v>
      </c>
      <c r="H7" s="22"/>
      <c r="I7" s="22"/>
      <c r="J7" s="188">
        <f>D7*0.01</f>
        <v>1</v>
      </c>
      <c r="K7" s="189">
        <f>D7*0.03</f>
        <v>3</v>
      </c>
    </row>
    <row r="8" spans="1:11" ht="39.75" customHeight="1">
      <c r="A8" s="11">
        <v>4</v>
      </c>
      <c r="B8" s="20" t="s">
        <v>49</v>
      </c>
      <c r="C8" s="239" t="s">
        <v>55</v>
      </c>
      <c r="D8" s="21">
        <v>100</v>
      </c>
      <c r="E8" s="22">
        <f>D8*0.225</f>
        <v>22.5</v>
      </c>
      <c r="F8" s="22">
        <f>D8*0.42</f>
        <v>42</v>
      </c>
      <c r="G8" s="22">
        <f>D8*0.84</f>
        <v>84</v>
      </c>
      <c r="H8" s="22"/>
      <c r="I8" s="22"/>
      <c r="J8" s="188">
        <f>D8*0.01</f>
        <v>1</v>
      </c>
      <c r="K8" s="189">
        <f>D8*0.03</f>
        <v>3</v>
      </c>
    </row>
    <row r="9" spans="1:11" ht="39.75" customHeight="1">
      <c r="A9" s="11">
        <v>5</v>
      </c>
      <c r="B9" s="20" t="s">
        <v>51</v>
      </c>
      <c r="C9" s="239" t="s">
        <v>55</v>
      </c>
      <c r="D9" s="21">
        <v>100</v>
      </c>
      <c r="E9" s="22">
        <f>D9*0.308</f>
        <v>30.8</v>
      </c>
      <c r="F9" s="22">
        <f>D9*0.385</f>
        <v>38.5</v>
      </c>
      <c r="G9" s="22">
        <f>D9*0.77</f>
        <v>77</v>
      </c>
      <c r="H9" s="22"/>
      <c r="I9" s="22"/>
      <c r="J9" s="188">
        <f>D9*0.01</f>
        <v>1</v>
      </c>
      <c r="K9" s="189">
        <f>D9*0.03</f>
        <v>3</v>
      </c>
    </row>
    <row r="10" spans="1:11" ht="39.75" customHeight="1">
      <c r="A10" s="110"/>
      <c r="B10" s="29"/>
      <c r="C10" s="240"/>
      <c r="D10" s="111"/>
      <c r="E10" s="112"/>
      <c r="F10" s="112"/>
      <c r="G10" s="112"/>
      <c r="H10" s="112"/>
      <c r="I10" s="112"/>
      <c r="J10" s="190"/>
      <c r="K10" s="370"/>
    </row>
    <row r="11" spans="1:11" ht="39.75" customHeight="1" thickBot="1">
      <c r="A11" s="110">
        <v>6</v>
      </c>
      <c r="B11" s="29" t="s">
        <v>89</v>
      </c>
      <c r="C11" s="240" t="s">
        <v>55</v>
      </c>
      <c r="D11" s="111">
        <v>1</v>
      </c>
      <c r="E11" s="112"/>
      <c r="F11" s="112"/>
      <c r="G11" s="112"/>
      <c r="H11" s="112"/>
      <c r="I11" s="112">
        <f>D11*0.002223</f>
        <v>0.002223</v>
      </c>
      <c r="J11" s="190"/>
      <c r="K11" s="191"/>
    </row>
    <row r="12" spans="1:11" ht="39.75" customHeight="1" thickBot="1" thickTop="1">
      <c r="A12" s="192" t="s">
        <v>91</v>
      </c>
      <c r="B12" s="177" t="s">
        <v>96</v>
      </c>
      <c r="C12" s="415" t="s">
        <v>135</v>
      </c>
      <c r="D12" s="416"/>
      <c r="E12" s="416"/>
      <c r="F12" s="416"/>
      <c r="G12" s="416"/>
      <c r="H12" s="416"/>
      <c r="I12" s="416"/>
      <c r="J12" s="416"/>
      <c r="K12" s="417"/>
    </row>
    <row r="13" spans="1:11" ht="39.75" customHeight="1" thickTop="1">
      <c r="A13" s="109">
        <v>7</v>
      </c>
      <c r="B13" s="108" t="s">
        <v>46</v>
      </c>
      <c r="C13" s="238" t="s">
        <v>55</v>
      </c>
      <c r="D13" s="27">
        <v>100</v>
      </c>
      <c r="E13" s="107">
        <f>D13*0.035</f>
        <v>3.5000000000000004</v>
      </c>
      <c r="F13" s="107">
        <f>D13*0.2671</f>
        <v>26.71</v>
      </c>
      <c r="G13" s="107"/>
      <c r="H13" s="107">
        <f aca="true" t="shared" si="0" ref="H13:H19">D13*13.5</f>
        <v>1350</v>
      </c>
      <c r="I13" s="107"/>
      <c r="J13" s="186">
        <f aca="true" t="shared" si="1" ref="J13:J19">D13*0.03</f>
        <v>3</v>
      </c>
      <c r="K13" s="187">
        <f aca="true" t="shared" si="2" ref="K13:K19">D13*0.06</f>
        <v>6</v>
      </c>
    </row>
    <row r="14" spans="1:11" ht="39.75" customHeight="1">
      <c r="A14" s="11">
        <v>8</v>
      </c>
      <c r="B14" s="20" t="s">
        <v>67</v>
      </c>
      <c r="C14" s="239" t="s">
        <v>55</v>
      </c>
      <c r="D14" s="21">
        <v>100</v>
      </c>
      <c r="E14" s="22">
        <f>D14*0.04</f>
        <v>4</v>
      </c>
      <c r="F14" s="22">
        <f>D14*0.25</f>
        <v>25</v>
      </c>
      <c r="G14" s="22"/>
      <c r="H14" s="22">
        <f t="shared" si="0"/>
        <v>1350</v>
      </c>
      <c r="I14" s="22"/>
      <c r="J14" s="188">
        <f t="shared" si="1"/>
        <v>3</v>
      </c>
      <c r="K14" s="189">
        <f t="shared" si="2"/>
        <v>6</v>
      </c>
    </row>
    <row r="15" spans="1:11" ht="39.75" customHeight="1">
      <c r="A15" s="11">
        <v>9</v>
      </c>
      <c r="B15" s="20" t="s">
        <v>47</v>
      </c>
      <c r="C15" s="239" t="s">
        <v>55</v>
      </c>
      <c r="D15" s="21">
        <v>100</v>
      </c>
      <c r="E15" s="22">
        <f>D15*0.048</f>
        <v>4.8</v>
      </c>
      <c r="F15" s="22">
        <f>D15*0.24</f>
        <v>24</v>
      </c>
      <c r="G15" s="22"/>
      <c r="H15" s="22">
        <f t="shared" si="0"/>
        <v>1350</v>
      </c>
      <c r="I15" s="22"/>
      <c r="J15" s="188">
        <f t="shared" si="1"/>
        <v>3</v>
      </c>
      <c r="K15" s="189">
        <f t="shared" si="2"/>
        <v>6</v>
      </c>
    </row>
    <row r="16" spans="1:11" ht="39.75" customHeight="1" thickBot="1">
      <c r="A16" s="110">
        <v>10</v>
      </c>
      <c r="B16" s="29" t="s">
        <v>227</v>
      </c>
      <c r="C16" s="240" t="s">
        <v>55</v>
      </c>
      <c r="D16" s="111">
        <v>100</v>
      </c>
      <c r="E16" s="112">
        <f>D16*0.03</f>
        <v>3</v>
      </c>
      <c r="F16" s="112">
        <f>D16*0.262</f>
        <v>26.200000000000003</v>
      </c>
      <c r="G16" s="112"/>
      <c r="H16" s="112">
        <f t="shared" si="0"/>
        <v>1350</v>
      </c>
      <c r="I16" s="112"/>
      <c r="J16" s="190">
        <f t="shared" si="1"/>
        <v>3</v>
      </c>
      <c r="K16" s="191">
        <f t="shared" si="2"/>
        <v>6</v>
      </c>
    </row>
    <row r="17" spans="1:11" ht="39.75" customHeight="1" thickBot="1" thickTop="1">
      <c r="A17" s="110">
        <v>11</v>
      </c>
      <c r="B17" s="29" t="s">
        <v>228</v>
      </c>
      <c r="C17" s="240" t="s">
        <v>55</v>
      </c>
      <c r="D17" s="111">
        <v>100</v>
      </c>
      <c r="E17" s="112">
        <f>D17*0.026</f>
        <v>2.6</v>
      </c>
      <c r="F17" s="112">
        <f>D17*0.266</f>
        <v>26.6</v>
      </c>
      <c r="G17" s="112"/>
      <c r="H17" s="112">
        <f t="shared" si="0"/>
        <v>1350</v>
      </c>
      <c r="I17" s="112"/>
      <c r="J17" s="190">
        <f t="shared" si="1"/>
        <v>3</v>
      </c>
      <c r="K17" s="191">
        <f t="shared" si="2"/>
        <v>6</v>
      </c>
    </row>
    <row r="18" spans="1:11" ht="39.75" customHeight="1" thickBot="1" thickTop="1">
      <c r="A18" s="110">
        <v>12</v>
      </c>
      <c r="B18" s="29" t="s">
        <v>229</v>
      </c>
      <c r="C18" s="240" t="s">
        <v>55</v>
      </c>
      <c r="D18" s="111">
        <v>100</v>
      </c>
      <c r="E18" s="112">
        <f>D18*0.0218</f>
        <v>2.18</v>
      </c>
      <c r="F18" s="112">
        <f>D18*0.272</f>
        <v>27.200000000000003</v>
      </c>
      <c r="G18" s="112"/>
      <c r="H18" s="112">
        <f>D18*13.5</f>
        <v>1350</v>
      </c>
      <c r="I18" s="112"/>
      <c r="J18" s="190">
        <f>D18*0.03</f>
        <v>3</v>
      </c>
      <c r="K18" s="191">
        <f>D18*0.06</f>
        <v>6</v>
      </c>
    </row>
    <row r="19" spans="1:11" ht="39.75" customHeight="1" thickBot="1" thickTop="1">
      <c r="A19" s="110">
        <v>13</v>
      </c>
      <c r="B19" s="29" t="s">
        <v>230</v>
      </c>
      <c r="C19" s="240" t="s">
        <v>55</v>
      </c>
      <c r="D19" s="111">
        <v>100</v>
      </c>
      <c r="E19" s="112">
        <f>D19*0.0218</f>
        <v>2.18</v>
      </c>
      <c r="F19" s="112">
        <f>D19*0.276</f>
        <v>27.6</v>
      </c>
      <c r="G19" s="112"/>
      <c r="H19" s="112">
        <f t="shared" si="0"/>
        <v>1350</v>
      </c>
      <c r="I19" s="112"/>
      <c r="J19" s="190">
        <f t="shared" si="1"/>
        <v>3</v>
      </c>
      <c r="K19" s="191">
        <f t="shared" si="2"/>
        <v>6</v>
      </c>
    </row>
    <row r="20" spans="1:11" ht="39.75" customHeight="1" thickBot="1" thickTop="1">
      <c r="A20" s="192" t="s">
        <v>92</v>
      </c>
      <c r="B20" s="192" t="s">
        <v>97</v>
      </c>
      <c r="C20" s="415" t="s">
        <v>136</v>
      </c>
      <c r="D20" s="416"/>
      <c r="E20" s="416"/>
      <c r="F20" s="416"/>
      <c r="G20" s="416"/>
      <c r="H20" s="416"/>
      <c r="I20" s="416"/>
      <c r="J20" s="416"/>
      <c r="K20" s="417"/>
    </row>
    <row r="21" spans="1:11" ht="39.75" customHeight="1" thickTop="1">
      <c r="A21" s="109">
        <v>14</v>
      </c>
      <c r="B21" s="108" t="s">
        <v>52</v>
      </c>
      <c r="C21" s="238" t="s">
        <v>56</v>
      </c>
      <c r="D21" s="27">
        <v>1</v>
      </c>
      <c r="E21" s="107">
        <f>D21*0.0297</f>
        <v>0.0297</v>
      </c>
      <c r="F21" s="107">
        <f>D21*0.0742</f>
        <v>0.0742</v>
      </c>
      <c r="G21" s="107">
        <f>D21*0.148</f>
        <v>0.148</v>
      </c>
      <c r="H21" s="107"/>
      <c r="I21" s="107"/>
      <c r="J21" s="193"/>
      <c r="K21" s="194"/>
    </row>
    <row r="22" spans="1:11" ht="39.75" customHeight="1" thickBot="1">
      <c r="A22" s="110">
        <v>15</v>
      </c>
      <c r="B22" s="29" t="s">
        <v>53</v>
      </c>
      <c r="C22" s="240" t="s">
        <v>56</v>
      </c>
      <c r="D22" s="111">
        <v>1</v>
      </c>
      <c r="E22" s="112">
        <f>D22*0.0189</f>
        <v>0.0189</v>
      </c>
      <c r="F22" s="112">
        <f>D22*0.03543</f>
        <v>0.03543</v>
      </c>
      <c r="G22" s="112">
        <f>D22*0.0709</f>
        <v>0.0709</v>
      </c>
      <c r="H22" s="112"/>
      <c r="I22" s="112"/>
      <c r="J22" s="195"/>
      <c r="K22" s="196"/>
    </row>
    <row r="23" spans="1:11" ht="39.75" customHeight="1" thickBot="1" thickTop="1">
      <c r="A23" s="197" t="s">
        <v>93</v>
      </c>
      <c r="B23" s="192" t="s">
        <v>98</v>
      </c>
      <c r="C23" s="415" t="s">
        <v>137</v>
      </c>
      <c r="D23" s="416"/>
      <c r="E23" s="416"/>
      <c r="F23" s="416"/>
      <c r="G23" s="416"/>
      <c r="H23" s="416"/>
      <c r="I23" s="416"/>
      <c r="J23" s="416"/>
      <c r="K23" s="417"/>
    </row>
    <row r="24" spans="1:11" ht="39.75" customHeight="1" thickTop="1">
      <c r="A24" s="109">
        <v>16</v>
      </c>
      <c r="B24" s="20" t="s">
        <v>66</v>
      </c>
      <c r="C24" s="241" t="s">
        <v>56</v>
      </c>
      <c r="D24" s="114">
        <v>100</v>
      </c>
      <c r="E24" s="115">
        <f>D24*0.0077</f>
        <v>0.77</v>
      </c>
      <c r="F24" s="115">
        <f>D24*0.0582</f>
        <v>5.82</v>
      </c>
      <c r="G24" s="115"/>
      <c r="H24" s="115"/>
      <c r="I24" s="116"/>
      <c r="J24" s="198"/>
      <c r="K24" s="194"/>
    </row>
    <row r="25" spans="1:11" ht="39.75" customHeight="1">
      <c r="A25" s="11">
        <v>17</v>
      </c>
      <c r="B25" s="20" t="s">
        <v>57</v>
      </c>
      <c r="C25" s="239" t="s">
        <v>56</v>
      </c>
      <c r="D25" s="21">
        <v>100</v>
      </c>
      <c r="E25" s="23">
        <f>D25*0.009</f>
        <v>0.8999999999999999</v>
      </c>
      <c r="F25" s="23">
        <f>D25*0.0566</f>
        <v>5.66</v>
      </c>
      <c r="G25" s="23"/>
      <c r="H25" s="23"/>
      <c r="I25" s="22"/>
      <c r="J25" s="199"/>
      <c r="K25" s="200"/>
    </row>
    <row r="26" spans="1:11" ht="39.75" customHeight="1">
      <c r="A26" s="11">
        <v>18</v>
      </c>
      <c r="B26" s="20" t="s">
        <v>58</v>
      </c>
      <c r="C26" s="239" t="s">
        <v>56</v>
      </c>
      <c r="D26" s="21">
        <v>100</v>
      </c>
      <c r="E26" s="23">
        <f>D26*0.0109</f>
        <v>1.09</v>
      </c>
      <c r="F26" s="23">
        <f>D26*0.0544</f>
        <v>5.4399999999999995</v>
      </c>
      <c r="G26" s="23"/>
      <c r="H26" s="23"/>
      <c r="I26" s="22"/>
      <c r="J26" s="199"/>
      <c r="K26" s="200"/>
    </row>
    <row r="27" spans="1:11" ht="39.75" customHeight="1">
      <c r="A27" s="11">
        <v>19</v>
      </c>
      <c r="B27" s="20" t="s">
        <v>60</v>
      </c>
      <c r="C27" s="239" t="s">
        <v>56</v>
      </c>
      <c r="D27" s="21">
        <v>100</v>
      </c>
      <c r="E27" s="23">
        <f>D27*0.0136</f>
        <v>1.3599999999999999</v>
      </c>
      <c r="F27" s="23">
        <f>D27*0.051</f>
        <v>5.1</v>
      </c>
      <c r="G27" s="23"/>
      <c r="H27" s="23"/>
      <c r="I27" s="22"/>
      <c r="J27" s="199"/>
      <c r="K27" s="200"/>
    </row>
    <row r="28" spans="1:11" ht="39.75" customHeight="1">
      <c r="A28" s="11">
        <v>20</v>
      </c>
      <c r="B28" s="20" t="s">
        <v>59</v>
      </c>
      <c r="C28" s="239" t="s">
        <v>56</v>
      </c>
      <c r="D28" s="21">
        <v>100</v>
      </c>
      <c r="E28" s="23">
        <f>D28*0.0182</f>
        <v>1.82</v>
      </c>
      <c r="F28" s="23">
        <f>D28*0.0453</f>
        <v>4.53</v>
      </c>
      <c r="G28" s="23"/>
      <c r="H28" s="23"/>
      <c r="I28" s="22"/>
      <c r="J28" s="199"/>
      <c r="K28" s="200"/>
    </row>
    <row r="29" spans="1:11" ht="39.75" customHeight="1">
      <c r="A29" s="11">
        <v>21</v>
      </c>
      <c r="B29" s="20" t="s">
        <v>61</v>
      </c>
      <c r="C29" s="239" t="s">
        <v>56</v>
      </c>
      <c r="D29" s="21">
        <v>100</v>
      </c>
      <c r="E29" s="23">
        <f>D29*0.0108</f>
        <v>1.08</v>
      </c>
      <c r="F29" s="23">
        <f>D29*0.0805</f>
        <v>8.05</v>
      </c>
      <c r="G29" s="23"/>
      <c r="H29" s="23"/>
      <c r="I29" s="22"/>
      <c r="J29" s="199"/>
      <c r="K29" s="200"/>
    </row>
    <row r="30" spans="1:11" ht="39.75" customHeight="1">
      <c r="A30" s="11">
        <v>22</v>
      </c>
      <c r="B30" s="20" t="s">
        <v>62</v>
      </c>
      <c r="C30" s="239" t="s">
        <v>56</v>
      </c>
      <c r="D30" s="21">
        <v>100</v>
      </c>
      <c r="E30" s="23">
        <f>D30*0.0125</f>
        <v>1.25</v>
      </c>
      <c r="F30" s="23">
        <f>D30*0.0783</f>
        <v>7.829999999999999</v>
      </c>
      <c r="G30" s="23"/>
      <c r="H30" s="23"/>
      <c r="I30" s="22"/>
      <c r="J30" s="199"/>
      <c r="K30" s="200"/>
    </row>
    <row r="31" spans="1:11" ht="39.75" customHeight="1">
      <c r="A31" s="11">
        <v>23</v>
      </c>
      <c r="B31" s="20" t="s">
        <v>63</v>
      </c>
      <c r="C31" s="239" t="s">
        <v>56</v>
      </c>
      <c r="D31" s="21">
        <v>100</v>
      </c>
      <c r="E31" s="23">
        <f>D31*0.015</f>
        <v>1.5</v>
      </c>
      <c r="F31" s="23">
        <f>D31*0.0752</f>
        <v>7.5200000000000005</v>
      </c>
      <c r="G31" s="23"/>
      <c r="H31" s="23"/>
      <c r="I31" s="22"/>
      <c r="J31" s="199"/>
      <c r="K31" s="200"/>
    </row>
    <row r="32" spans="1:11" ht="39.75" customHeight="1">
      <c r="A32" s="11">
        <v>24</v>
      </c>
      <c r="B32" s="20" t="s">
        <v>64</v>
      </c>
      <c r="C32" s="239" t="s">
        <v>56</v>
      </c>
      <c r="D32" s="21">
        <v>100</v>
      </c>
      <c r="E32" s="23">
        <f>D32*0.0188</f>
        <v>1.8800000000000001</v>
      </c>
      <c r="F32" s="23">
        <f>D32*0.0705</f>
        <v>7.049999999999999</v>
      </c>
      <c r="G32" s="23"/>
      <c r="H32" s="23"/>
      <c r="I32" s="22"/>
      <c r="J32" s="199"/>
      <c r="K32" s="200"/>
    </row>
    <row r="33" spans="1:11" ht="39.75" customHeight="1">
      <c r="A33" s="11">
        <v>25</v>
      </c>
      <c r="B33" s="20" t="s">
        <v>65</v>
      </c>
      <c r="C33" s="239" t="s">
        <v>56</v>
      </c>
      <c r="D33" s="21">
        <v>100</v>
      </c>
      <c r="E33" s="23">
        <f>D33*0.025</f>
        <v>2.5</v>
      </c>
      <c r="F33" s="23">
        <f>D33*0.0626</f>
        <v>6.260000000000001</v>
      </c>
      <c r="G33" s="23"/>
      <c r="H33" s="23"/>
      <c r="I33" s="22"/>
      <c r="J33" s="199"/>
      <c r="K33" s="200"/>
    </row>
    <row r="34" spans="1:11" ht="39.75" customHeight="1">
      <c r="A34" s="11">
        <v>26</v>
      </c>
      <c r="B34" s="20" t="s">
        <v>68</v>
      </c>
      <c r="C34" s="239" t="s">
        <v>56</v>
      </c>
      <c r="D34" s="21">
        <v>100</v>
      </c>
      <c r="E34" s="23">
        <f>D34*0.0125</f>
        <v>1.25</v>
      </c>
      <c r="F34" s="23">
        <f>D34*0.046</f>
        <v>4.6</v>
      </c>
      <c r="G34" s="23"/>
      <c r="H34" s="23"/>
      <c r="I34" s="22"/>
      <c r="J34" s="199"/>
      <c r="K34" s="200"/>
    </row>
    <row r="35" spans="1:11" ht="39.75" customHeight="1">
      <c r="A35" s="11">
        <v>27</v>
      </c>
      <c r="B35" s="20" t="s">
        <v>69</v>
      </c>
      <c r="C35" s="239" t="s">
        <v>56</v>
      </c>
      <c r="D35" s="21">
        <v>100</v>
      </c>
      <c r="E35" s="23">
        <f>D35*0.01</f>
        <v>1</v>
      </c>
      <c r="F35" s="23">
        <f>D35*0.05</f>
        <v>5</v>
      </c>
      <c r="G35" s="23"/>
      <c r="H35" s="23"/>
      <c r="I35" s="22"/>
      <c r="J35" s="199"/>
      <c r="K35" s="200"/>
    </row>
    <row r="36" spans="1:11" ht="39.75" customHeight="1">
      <c r="A36" s="11">
        <v>28</v>
      </c>
      <c r="B36" s="20" t="s">
        <v>70</v>
      </c>
      <c r="C36" s="239" t="s">
        <v>56</v>
      </c>
      <c r="D36" s="21">
        <v>100</v>
      </c>
      <c r="E36" s="23">
        <f>D36*0.00625</f>
        <v>0.625</v>
      </c>
      <c r="F36" s="25">
        <f>D36*0.0234</f>
        <v>2.34</v>
      </c>
      <c r="G36" s="23"/>
      <c r="H36" s="25"/>
      <c r="I36" s="22"/>
      <c r="J36" s="199"/>
      <c r="K36" s="200"/>
    </row>
    <row r="37" spans="1:11" ht="39.75" customHeight="1" thickBot="1">
      <c r="A37" s="110">
        <v>29</v>
      </c>
      <c r="B37" s="29" t="s">
        <v>71</v>
      </c>
      <c r="C37" s="240" t="s">
        <v>56</v>
      </c>
      <c r="D37" s="111">
        <v>100</v>
      </c>
      <c r="E37" s="113">
        <f>D37*0.005</f>
        <v>0.5</v>
      </c>
      <c r="F37" s="113">
        <f>D37*0.025</f>
        <v>2.5</v>
      </c>
      <c r="G37" s="113"/>
      <c r="H37" s="113"/>
      <c r="I37" s="112"/>
      <c r="J37" s="195"/>
      <c r="K37" s="196"/>
    </row>
    <row r="38" spans="1:11" ht="39.75" customHeight="1" thickBot="1" thickTop="1">
      <c r="A38" s="192" t="s">
        <v>99</v>
      </c>
      <c r="B38" s="176" t="s">
        <v>105</v>
      </c>
      <c r="C38" s="415" t="s">
        <v>136</v>
      </c>
      <c r="D38" s="416"/>
      <c r="E38" s="416"/>
      <c r="F38" s="416"/>
      <c r="G38" s="416"/>
      <c r="H38" s="416"/>
      <c r="I38" s="416"/>
      <c r="J38" s="416"/>
      <c r="K38" s="417"/>
    </row>
    <row r="39" spans="1:11" ht="39.75" customHeight="1" thickTop="1">
      <c r="A39" s="109">
        <v>30</v>
      </c>
      <c r="B39" s="31" t="s">
        <v>138</v>
      </c>
      <c r="C39" s="242" t="s">
        <v>56</v>
      </c>
      <c r="D39" s="116">
        <v>1</v>
      </c>
      <c r="E39" s="158"/>
      <c r="F39" s="115"/>
      <c r="G39" s="115"/>
      <c r="H39" s="116"/>
      <c r="I39" s="115"/>
      <c r="J39" s="201"/>
      <c r="K39" s="201"/>
    </row>
    <row r="40" spans="1:11" ht="39.75" customHeight="1" thickBot="1">
      <c r="A40" s="118">
        <v>31</v>
      </c>
      <c r="B40" s="31" t="s">
        <v>138</v>
      </c>
      <c r="C40" s="243" t="s">
        <v>56</v>
      </c>
      <c r="D40" s="22">
        <v>1</v>
      </c>
      <c r="E40" s="22"/>
      <c r="F40" s="22"/>
      <c r="G40" s="23"/>
      <c r="H40" s="22"/>
      <c r="I40" s="23"/>
      <c r="J40" s="202"/>
      <c r="K40" s="202"/>
    </row>
    <row r="41" spans="1:11" ht="39.75" customHeight="1" thickBot="1" thickTop="1">
      <c r="A41" s="118">
        <v>32</v>
      </c>
      <c r="B41" s="133" t="s">
        <v>111</v>
      </c>
      <c r="C41" s="244" t="s">
        <v>56</v>
      </c>
      <c r="D41" s="82">
        <v>1</v>
      </c>
      <c r="E41" s="82">
        <f>D41*2.88</f>
        <v>2.88</v>
      </c>
      <c r="F41" s="82"/>
      <c r="G41" s="81"/>
      <c r="H41" s="82"/>
      <c r="I41" s="81"/>
      <c r="J41" s="203"/>
      <c r="K41" s="204"/>
    </row>
    <row r="42" spans="1:11" ht="39.75" customHeight="1" thickBot="1" thickTop="1">
      <c r="A42" s="192" t="s">
        <v>112</v>
      </c>
      <c r="B42" s="192" t="s">
        <v>100</v>
      </c>
      <c r="C42" s="418"/>
      <c r="D42" s="419"/>
      <c r="E42" s="419"/>
      <c r="F42" s="419"/>
      <c r="G42" s="419"/>
      <c r="H42" s="419"/>
      <c r="I42" s="419"/>
      <c r="J42" s="419"/>
      <c r="K42" s="420"/>
    </row>
    <row r="43" spans="1:11" ht="39.75" customHeight="1" thickTop="1">
      <c r="A43" s="109">
        <v>33</v>
      </c>
      <c r="B43" s="108" t="s">
        <v>72</v>
      </c>
      <c r="C43" s="238" t="s">
        <v>56</v>
      </c>
      <c r="D43" s="27">
        <v>100</v>
      </c>
      <c r="E43" s="28">
        <f>D43*0.004</f>
        <v>0.4</v>
      </c>
      <c r="F43" s="28">
        <f>D43*0.0129</f>
        <v>1.29</v>
      </c>
      <c r="G43" s="107"/>
      <c r="H43" s="107"/>
      <c r="I43" s="107"/>
      <c r="J43" s="193"/>
      <c r="K43" s="205"/>
    </row>
    <row r="44" spans="1:11" ht="39.75" customHeight="1" thickBot="1">
      <c r="A44" s="118">
        <v>34</v>
      </c>
      <c r="B44" s="79" t="s">
        <v>73</v>
      </c>
      <c r="C44" s="245" t="s">
        <v>56</v>
      </c>
      <c r="D44" s="80">
        <v>100</v>
      </c>
      <c r="E44" s="82">
        <f>D44*0.0052</f>
        <v>0.52</v>
      </c>
      <c r="F44" s="81">
        <f>D44*0.0145</f>
        <v>1.4500000000000002</v>
      </c>
      <c r="G44" s="82"/>
      <c r="H44" s="82"/>
      <c r="I44" s="82"/>
      <c r="J44" s="206"/>
      <c r="K44" s="207"/>
    </row>
    <row r="45" ht="24.75" customHeight="1" thickTop="1">
      <c r="A45" s="117"/>
    </row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</sheetData>
  <mergeCells count="8">
    <mergeCell ref="A1:I1"/>
    <mergeCell ref="C20:K20"/>
    <mergeCell ref="C23:K23"/>
    <mergeCell ref="C42:K42"/>
    <mergeCell ref="A2:K2"/>
    <mergeCell ref="C12:K12"/>
    <mergeCell ref="C4:K4"/>
    <mergeCell ref="C38:K38"/>
  </mergeCells>
  <printOptions horizontalCentered="1"/>
  <pageMargins left="0.25" right="0.25" top="0.25" bottom="0.25" header="0.5" footer="0.5"/>
  <pageSetup horizontalDpi="120" verticalDpi="120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9"/>
  <sheetViews>
    <sheetView view="pageBreakPreview" zoomScale="85" zoomScaleNormal="75" zoomScaleSheetLayoutView="85" workbookViewId="0" topLeftCell="A1">
      <selection activeCell="D5" sqref="D5"/>
    </sheetView>
  </sheetViews>
  <sheetFormatPr defaultColWidth="9.140625" defaultRowHeight="24.75" customHeight="1"/>
  <cols>
    <col min="1" max="1" width="9.28125" style="0" bestFit="1" customWidth="1"/>
    <col min="2" max="2" width="52.7109375" style="0" customWidth="1"/>
    <col min="4" max="4" width="10.8515625" style="0" bestFit="1" customWidth="1"/>
    <col min="5" max="5" width="12.57421875" style="0" bestFit="1" customWidth="1"/>
    <col min="6" max="6" width="10.421875" style="0" bestFit="1" customWidth="1"/>
    <col min="7" max="8" width="12.57421875" style="0" bestFit="1" customWidth="1"/>
    <col min="9" max="9" width="14.00390625" style="0" bestFit="1" customWidth="1"/>
    <col min="10" max="10" width="18.140625" style="0" customWidth="1"/>
    <col min="11" max="11" width="15.8515625" style="0" customWidth="1"/>
  </cols>
  <sheetData>
    <row r="1" spans="1:11" ht="24.75" customHeight="1" thickBot="1" thickTop="1">
      <c r="A1" s="427" t="s">
        <v>101</v>
      </c>
      <c r="B1" s="428"/>
      <c r="C1" s="428"/>
      <c r="D1" s="428"/>
      <c r="E1" s="428"/>
      <c r="F1" s="428"/>
      <c r="G1" s="428"/>
      <c r="H1" s="428"/>
      <c r="I1" s="428"/>
      <c r="J1" s="428"/>
      <c r="K1" s="429"/>
    </row>
    <row r="2" spans="1:11" ht="37.5" customHeight="1" thickBot="1" thickTop="1">
      <c r="A2" s="119" t="s">
        <v>15</v>
      </c>
      <c r="B2" s="125" t="s">
        <v>16</v>
      </c>
      <c r="C2" s="126" t="s">
        <v>17</v>
      </c>
      <c r="D2" s="127" t="s">
        <v>45</v>
      </c>
      <c r="E2" s="88" t="s">
        <v>18</v>
      </c>
      <c r="F2" s="87" t="s">
        <v>19</v>
      </c>
      <c r="G2" s="129" t="s">
        <v>20</v>
      </c>
      <c r="H2" s="128" t="s">
        <v>21</v>
      </c>
      <c r="I2" s="130" t="s">
        <v>27</v>
      </c>
      <c r="J2" s="131" t="s">
        <v>87</v>
      </c>
      <c r="K2" s="132" t="s">
        <v>88</v>
      </c>
    </row>
    <row r="3" spans="1:11" ht="21.75" customHeight="1" thickBot="1" thickTop="1">
      <c r="A3" s="120" t="s">
        <v>90</v>
      </c>
      <c r="B3" s="122" t="s">
        <v>86</v>
      </c>
      <c r="C3" s="433" t="s">
        <v>133</v>
      </c>
      <c r="D3" s="434"/>
      <c r="E3" s="434"/>
      <c r="F3" s="434"/>
      <c r="G3" s="434"/>
      <c r="H3" s="434"/>
      <c r="I3" s="434"/>
      <c r="J3" s="434"/>
      <c r="K3" s="435"/>
    </row>
    <row r="4" spans="1:11" ht="24.75" customHeight="1" thickTop="1">
      <c r="A4" s="109">
        <v>1</v>
      </c>
      <c r="B4" s="20" t="s">
        <v>43</v>
      </c>
      <c r="C4" s="26" t="s">
        <v>30</v>
      </c>
      <c r="D4" s="21">
        <v>100</v>
      </c>
      <c r="E4" s="22">
        <f>D4*3.35</f>
        <v>335</v>
      </c>
      <c r="F4" s="23">
        <f>D4*0.474</f>
        <v>47.4</v>
      </c>
      <c r="G4" s="23">
        <f>D4*0.947</f>
        <v>94.69999999999999</v>
      </c>
      <c r="H4" s="22"/>
      <c r="I4" s="22"/>
      <c r="J4" s="150"/>
      <c r="K4" s="150"/>
    </row>
    <row r="5" spans="1:11" ht="24.75" customHeight="1">
      <c r="A5" s="11">
        <v>2</v>
      </c>
      <c r="B5" s="20" t="s">
        <v>44</v>
      </c>
      <c r="C5" s="26" t="s">
        <v>30</v>
      </c>
      <c r="D5" s="21">
        <v>100</v>
      </c>
      <c r="E5" s="22">
        <f>D5*4.35</f>
        <v>434.99999999999994</v>
      </c>
      <c r="F5" s="23">
        <f>D5*0.462</f>
        <v>46.2</v>
      </c>
      <c r="G5" s="23">
        <f>D5*0.924</f>
        <v>92.4</v>
      </c>
      <c r="H5" s="22"/>
      <c r="I5" s="22"/>
      <c r="J5" s="150"/>
      <c r="K5" s="150"/>
    </row>
    <row r="6" spans="1:11" ht="24.75" customHeight="1">
      <c r="A6" s="11">
        <v>3</v>
      </c>
      <c r="B6" s="20" t="s">
        <v>50</v>
      </c>
      <c r="C6" s="26" t="s">
        <v>30</v>
      </c>
      <c r="D6" s="21">
        <v>100</v>
      </c>
      <c r="E6" s="22">
        <f>D6*6.215</f>
        <v>621.5</v>
      </c>
      <c r="F6" s="22">
        <f>D6*0.44</f>
        <v>44</v>
      </c>
      <c r="G6" s="22">
        <f>D6*0.88</f>
        <v>88</v>
      </c>
      <c r="H6" s="22"/>
      <c r="I6" s="22"/>
      <c r="J6" s="150"/>
      <c r="K6" s="150"/>
    </row>
    <row r="7" spans="1:11" ht="24.75" customHeight="1">
      <c r="A7" s="11">
        <v>4</v>
      </c>
      <c r="B7" s="20" t="s">
        <v>49</v>
      </c>
      <c r="C7" s="26" t="s">
        <v>30</v>
      </c>
      <c r="D7" s="21">
        <v>100</v>
      </c>
      <c r="E7" s="22">
        <f>D7*7.91</f>
        <v>791</v>
      </c>
      <c r="F7" s="22">
        <f>D7*0.42</f>
        <v>42</v>
      </c>
      <c r="G7" s="22">
        <f>D7*0.84</f>
        <v>84</v>
      </c>
      <c r="H7" s="22"/>
      <c r="I7" s="22"/>
      <c r="J7" s="150"/>
      <c r="K7" s="150"/>
    </row>
    <row r="8" spans="1:11" ht="24.75" customHeight="1">
      <c r="A8" s="11">
        <v>5</v>
      </c>
      <c r="B8" s="20" t="s">
        <v>51</v>
      </c>
      <c r="C8" s="26" t="s">
        <v>30</v>
      </c>
      <c r="D8" s="21">
        <v>100</v>
      </c>
      <c r="E8" s="22">
        <f>D8*10.87</f>
        <v>1087</v>
      </c>
      <c r="F8" s="23">
        <f>D8*0.385</f>
        <v>38.5</v>
      </c>
      <c r="G8" s="23">
        <f>D8*0.77</f>
        <v>77</v>
      </c>
      <c r="H8" s="22"/>
      <c r="I8" s="22"/>
      <c r="J8" s="150"/>
      <c r="K8" s="150"/>
    </row>
    <row r="9" spans="1:11" ht="30.75" customHeight="1" thickBot="1">
      <c r="A9" s="110">
        <v>6</v>
      </c>
      <c r="B9" s="29" t="s">
        <v>89</v>
      </c>
      <c r="C9" s="30" t="s">
        <v>30</v>
      </c>
      <c r="D9" s="111">
        <v>100</v>
      </c>
      <c r="E9" s="112"/>
      <c r="F9" s="112"/>
      <c r="G9" s="112"/>
      <c r="H9" s="112"/>
      <c r="I9" s="112">
        <f>D9*0.0785</f>
        <v>7.85</v>
      </c>
      <c r="J9" s="151"/>
      <c r="K9" s="152"/>
    </row>
    <row r="10" spans="1:11" ht="34.5" customHeight="1" thickBot="1" thickTop="1">
      <c r="A10" s="121" t="s">
        <v>91</v>
      </c>
      <c r="B10" s="123" t="s">
        <v>96</v>
      </c>
      <c r="C10" s="415" t="s">
        <v>135</v>
      </c>
      <c r="D10" s="416"/>
      <c r="E10" s="416"/>
      <c r="F10" s="416"/>
      <c r="G10" s="416"/>
      <c r="H10" s="416"/>
      <c r="I10" s="416"/>
      <c r="J10" s="416"/>
      <c r="K10" s="417"/>
    </row>
    <row r="11" spans="1:11" ht="24.75" customHeight="1" thickTop="1">
      <c r="A11" s="11">
        <v>7</v>
      </c>
      <c r="B11" s="20" t="s">
        <v>46</v>
      </c>
      <c r="C11" s="26" t="s">
        <v>30</v>
      </c>
      <c r="D11" s="21">
        <v>100</v>
      </c>
      <c r="E11" s="22">
        <f>D11*1.215</f>
        <v>121.50000000000001</v>
      </c>
      <c r="F11" s="22">
        <f>D11*0.257</f>
        <v>25.7</v>
      </c>
      <c r="G11" s="22"/>
      <c r="H11" s="24">
        <f>D11*477</f>
        <v>47700</v>
      </c>
      <c r="I11" s="22"/>
      <c r="J11" s="150"/>
      <c r="K11" s="150"/>
    </row>
    <row r="12" spans="1:11" ht="24.75" customHeight="1">
      <c r="A12" s="11">
        <v>8</v>
      </c>
      <c r="B12" s="20" t="s">
        <v>67</v>
      </c>
      <c r="C12" s="26" t="s">
        <v>30</v>
      </c>
      <c r="D12" s="21">
        <v>100</v>
      </c>
      <c r="E12" s="22">
        <f>D12*1.412</f>
        <v>141.2</v>
      </c>
      <c r="F12" s="22">
        <f>D12*0.25</f>
        <v>25</v>
      </c>
      <c r="G12" s="22"/>
      <c r="H12" s="24">
        <f>D12*477</f>
        <v>47700</v>
      </c>
      <c r="I12" s="22"/>
      <c r="J12" s="150"/>
      <c r="K12" s="150"/>
    </row>
    <row r="13" spans="1:11" ht="24.75" customHeight="1">
      <c r="A13" s="11">
        <v>9</v>
      </c>
      <c r="B13" s="20" t="s">
        <v>47</v>
      </c>
      <c r="C13" s="26" t="s">
        <v>30</v>
      </c>
      <c r="D13" s="21">
        <v>100</v>
      </c>
      <c r="E13" s="22">
        <f>D13*1.69512</f>
        <v>169.512</v>
      </c>
      <c r="F13" s="22">
        <f>D13*0.24</f>
        <v>24</v>
      </c>
      <c r="G13" s="22"/>
      <c r="H13" s="24">
        <f>D13*477</f>
        <v>47700</v>
      </c>
      <c r="I13" s="22"/>
      <c r="J13" s="150"/>
      <c r="K13" s="150"/>
    </row>
    <row r="14" spans="1:11" ht="24.75" customHeight="1" thickBot="1">
      <c r="A14" s="11">
        <v>10</v>
      </c>
      <c r="B14" s="20" t="s">
        <v>48</v>
      </c>
      <c r="C14" s="26" t="s">
        <v>30</v>
      </c>
      <c r="D14" s="21">
        <v>100</v>
      </c>
      <c r="E14" s="22">
        <f>D14*2.11864</f>
        <v>211.864</v>
      </c>
      <c r="F14" s="23">
        <f>D14*0.225</f>
        <v>22.5</v>
      </c>
      <c r="G14" s="22"/>
      <c r="H14" s="24">
        <f>D14*477</f>
        <v>47700</v>
      </c>
      <c r="I14" s="22"/>
      <c r="J14" s="150"/>
      <c r="K14" s="150"/>
    </row>
    <row r="15" spans="1:11" ht="24.75" customHeight="1" thickBot="1" thickTop="1">
      <c r="A15" s="121" t="s">
        <v>92</v>
      </c>
      <c r="B15" s="124" t="s">
        <v>97</v>
      </c>
      <c r="C15" s="415" t="s">
        <v>136</v>
      </c>
      <c r="D15" s="416"/>
      <c r="E15" s="416"/>
      <c r="F15" s="416"/>
      <c r="G15" s="416"/>
      <c r="H15" s="416"/>
      <c r="I15" s="416"/>
      <c r="J15" s="416"/>
      <c r="K15" s="417"/>
    </row>
    <row r="16" spans="1:11" ht="24.75" customHeight="1" thickTop="1">
      <c r="A16" s="11">
        <v>11</v>
      </c>
      <c r="B16" s="20" t="s">
        <v>52</v>
      </c>
      <c r="C16" s="26" t="s">
        <v>32</v>
      </c>
      <c r="D16" s="21">
        <v>1</v>
      </c>
      <c r="E16" s="22">
        <f>D16*0.32</f>
        <v>0.32</v>
      </c>
      <c r="F16" s="22">
        <f>D16*0.023</f>
        <v>0.023</v>
      </c>
      <c r="G16" s="22">
        <f>D16*0.0452</f>
        <v>0.0452</v>
      </c>
      <c r="H16" s="22"/>
      <c r="I16" s="22"/>
      <c r="J16" s="150"/>
      <c r="K16" s="150"/>
    </row>
    <row r="17" spans="1:11" ht="24.75" customHeight="1" thickBot="1">
      <c r="A17" s="11">
        <v>12</v>
      </c>
      <c r="B17" s="20" t="s">
        <v>53</v>
      </c>
      <c r="C17" s="26" t="s">
        <v>32</v>
      </c>
      <c r="D17" s="21">
        <v>1</v>
      </c>
      <c r="E17" s="22">
        <f>D17*0.2</f>
        <v>0.2</v>
      </c>
      <c r="F17" s="22">
        <f>D17*0.0106</f>
        <v>0.0106</v>
      </c>
      <c r="G17" s="22">
        <f>D17*0.0212</f>
        <v>0.0212</v>
      </c>
      <c r="H17" s="22"/>
      <c r="I17" s="22"/>
      <c r="J17" s="150"/>
      <c r="K17" s="150"/>
    </row>
    <row r="18" spans="1:11" ht="24.75" customHeight="1" thickBot="1" thickTop="1">
      <c r="A18" s="121" t="s">
        <v>93</v>
      </c>
      <c r="B18" s="124" t="s">
        <v>98</v>
      </c>
      <c r="C18" s="415" t="s">
        <v>137</v>
      </c>
      <c r="D18" s="416"/>
      <c r="E18" s="416"/>
      <c r="F18" s="416"/>
      <c r="G18" s="416"/>
      <c r="H18" s="416"/>
      <c r="I18" s="416"/>
      <c r="J18" s="416"/>
      <c r="K18" s="417"/>
    </row>
    <row r="19" spans="1:11" ht="24.75" customHeight="1" thickTop="1">
      <c r="A19" s="11">
        <v>13</v>
      </c>
      <c r="B19" s="20" t="s">
        <v>66</v>
      </c>
      <c r="C19" s="26" t="s">
        <v>32</v>
      </c>
      <c r="D19" s="21">
        <v>100</v>
      </c>
      <c r="E19" s="22">
        <f>D19*0.078</f>
        <v>7.8</v>
      </c>
      <c r="F19" s="25">
        <f>D19*0.0167</f>
        <v>1.67</v>
      </c>
      <c r="G19" s="22"/>
      <c r="H19" s="22"/>
      <c r="I19" s="22"/>
      <c r="J19" s="150"/>
      <c r="K19" s="150"/>
    </row>
    <row r="20" spans="1:11" ht="24.75" customHeight="1">
      <c r="A20" s="11">
        <v>14</v>
      </c>
      <c r="B20" s="20" t="s">
        <v>57</v>
      </c>
      <c r="C20" s="26" t="s">
        <v>32</v>
      </c>
      <c r="D20" s="21">
        <v>100</v>
      </c>
      <c r="E20" s="22">
        <f>D20*0.0918</f>
        <v>9.180000000000001</v>
      </c>
      <c r="F20" s="25">
        <f>D20*0.01625</f>
        <v>1.625</v>
      </c>
      <c r="G20" s="22"/>
      <c r="H20" s="22"/>
      <c r="I20" s="22"/>
      <c r="J20" s="150"/>
      <c r="K20" s="150"/>
    </row>
    <row r="21" spans="1:11" ht="24.75" customHeight="1">
      <c r="A21" s="11">
        <v>15</v>
      </c>
      <c r="B21" s="20" t="s">
        <v>58</v>
      </c>
      <c r="C21" s="26" t="s">
        <v>32</v>
      </c>
      <c r="D21" s="21">
        <v>100</v>
      </c>
      <c r="E21" s="22">
        <f>D21*0.11</f>
        <v>11</v>
      </c>
      <c r="F21" s="25">
        <f>D21*0.0156</f>
        <v>1.5599999999999998</v>
      </c>
      <c r="G21" s="22"/>
      <c r="H21" s="22"/>
      <c r="I21" s="22"/>
      <c r="J21" s="150"/>
      <c r="K21" s="150"/>
    </row>
    <row r="22" spans="1:11" ht="24.75" customHeight="1">
      <c r="A22" s="11">
        <v>16</v>
      </c>
      <c r="B22" s="20" t="s">
        <v>60</v>
      </c>
      <c r="C22" s="26" t="s">
        <v>32</v>
      </c>
      <c r="D22" s="21">
        <v>100</v>
      </c>
      <c r="E22" s="22">
        <f>D22*0.1377</f>
        <v>13.77</v>
      </c>
      <c r="F22" s="25">
        <f>D22*0.0146</f>
        <v>1.46</v>
      </c>
      <c r="G22" s="22"/>
      <c r="H22" s="22"/>
      <c r="I22" s="22"/>
      <c r="J22" s="150"/>
      <c r="K22" s="150"/>
    </row>
    <row r="23" spans="1:11" ht="24.75" customHeight="1">
      <c r="A23" s="11">
        <v>17</v>
      </c>
      <c r="B23" s="20" t="s">
        <v>59</v>
      </c>
      <c r="C23" s="26" t="s">
        <v>32</v>
      </c>
      <c r="D23" s="21">
        <v>100</v>
      </c>
      <c r="E23" s="22">
        <f>D23*0.18</f>
        <v>18</v>
      </c>
      <c r="F23" s="22">
        <f>D23*0.013</f>
        <v>1.3</v>
      </c>
      <c r="G23" s="22"/>
      <c r="H23" s="22"/>
      <c r="I23" s="22"/>
      <c r="J23" s="150"/>
      <c r="K23" s="150"/>
    </row>
    <row r="24" spans="1:11" ht="24.75" customHeight="1">
      <c r="A24" s="11">
        <v>18</v>
      </c>
      <c r="B24" s="20" t="s">
        <v>61</v>
      </c>
      <c r="C24" s="26" t="s">
        <v>32</v>
      </c>
      <c r="D24" s="21">
        <v>100</v>
      </c>
      <c r="E24" s="22">
        <f>D24*0.12</f>
        <v>12</v>
      </c>
      <c r="F24" s="23">
        <f>D24*0.026</f>
        <v>2.6</v>
      </c>
      <c r="G24" s="22"/>
      <c r="H24" s="22"/>
      <c r="I24" s="22"/>
      <c r="J24" s="150"/>
      <c r="K24" s="150"/>
    </row>
    <row r="25" spans="1:11" ht="24.75" customHeight="1">
      <c r="A25" s="11">
        <v>19</v>
      </c>
      <c r="B25" s="20" t="s">
        <v>62</v>
      </c>
      <c r="C25" s="26" t="s">
        <v>32</v>
      </c>
      <c r="D25" s="21">
        <v>100</v>
      </c>
      <c r="E25" s="22">
        <f>D25*0.14</f>
        <v>14.000000000000002</v>
      </c>
      <c r="F25" s="23">
        <f>D25*0.025</f>
        <v>2.5</v>
      </c>
      <c r="G25" s="22"/>
      <c r="H25" s="22"/>
      <c r="I25" s="22"/>
      <c r="J25" s="150"/>
      <c r="K25" s="150"/>
    </row>
    <row r="26" spans="1:11" ht="24.75" customHeight="1">
      <c r="A26" s="11">
        <v>20</v>
      </c>
      <c r="B26" s="20" t="s">
        <v>63</v>
      </c>
      <c r="C26" s="26" t="s">
        <v>32</v>
      </c>
      <c r="D26" s="21">
        <v>100</v>
      </c>
      <c r="E26" s="22">
        <f>D26*0.17</f>
        <v>17</v>
      </c>
      <c r="F26" s="23">
        <f>D26*0.024</f>
        <v>2.4</v>
      </c>
      <c r="G26" s="22"/>
      <c r="H26" s="22"/>
      <c r="I26" s="22"/>
      <c r="J26" s="150"/>
      <c r="K26" s="150"/>
    </row>
    <row r="27" spans="1:11" ht="24.75" customHeight="1">
      <c r="A27" s="11">
        <v>21</v>
      </c>
      <c r="B27" s="20" t="s">
        <v>64</v>
      </c>
      <c r="C27" s="26" t="s">
        <v>32</v>
      </c>
      <c r="D27" s="21">
        <v>100</v>
      </c>
      <c r="E27" s="22">
        <f>D27*0.22</f>
        <v>22</v>
      </c>
      <c r="F27" s="23">
        <f>D27*0.023</f>
        <v>2.3</v>
      </c>
      <c r="G27" s="22"/>
      <c r="H27" s="22"/>
      <c r="I27" s="22"/>
      <c r="J27" s="150"/>
      <c r="K27" s="150"/>
    </row>
    <row r="28" spans="1:11" ht="24.75" customHeight="1">
      <c r="A28" s="11">
        <v>22</v>
      </c>
      <c r="B28" s="20" t="s">
        <v>65</v>
      </c>
      <c r="C28" s="26" t="s">
        <v>32</v>
      </c>
      <c r="D28" s="21">
        <v>100</v>
      </c>
      <c r="E28" s="22">
        <f>D28*0.28</f>
        <v>28.000000000000004</v>
      </c>
      <c r="F28" s="23">
        <f>D28*0.02</f>
        <v>2</v>
      </c>
      <c r="G28" s="22"/>
      <c r="H28" s="22"/>
      <c r="I28" s="22"/>
      <c r="J28" s="150"/>
      <c r="K28" s="150"/>
    </row>
    <row r="29" spans="1:11" ht="24.75" customHeight="1">
      <c r="A29" s="11">
        <v>23</v>
      </c>
      <c r="B29" s="20" t="s">
        <v>68</v>
      </c>
      <c r="C29" s="26" t="s">
        <v>32</v>
      </c>
      <c r="D29" s="21">
        <v>100</v>
      </c>
      <c r="E29" s="22">
        <f>D29*0.13</f>
        <v>13</v>
      </c>
      <c r="F29" s="23">
        <f>D29*0.0135</f>
        <v>1.35</v>
      </c>
      <c r="G29" s="22"/>
      <c r="H29" s="22"/>
      <c r="I29" s="22"/>
      <c r="J29" s="150"/>
      <c r="K29" s="150"/>
    </row>
    <row r="30" spans="1:11" ht="24.75" customHeight="1">
      <c r="A30" s="11">
        <v>24</v>
      </c>
      <c r="B30" s="20" t="s">
        <v>69</v>
      </c>
      <c r="C30" s="26" t="s">
        <v>32</v>
      </c>
      <c r="D30" s="21">
        <v>100</v>
      </c>
      <c r="E30" s="22">
        <f>D30*0.1</f>
        <v>10</v>
      </c>
      <c r="F30" s="23">
        <f>D30*0.0144</f>
        <v>1.44</v>
      </c>
      <c r="G30" s="22"/>
      <c r="H30" s="22"/>
      <c r="I30" s="22"/>
      <c r="J30" s="150"/>
      <c r="K30" s="150"/>
    </row>
    <row r="31" spans="1:11" ht="24.75" customHeight="1">
      <c r="A31" s="11">
        <v>25</v>
      </c>
      <c r="B31" s="20" t="s">
        <v>70</v>
      </c>
      <c r="C31" s="26" t="s">
        <v>32</v>
      </c>
      <c r="D31" s="21">
        <v>100</v>
      </c>
      <c r="E31" s="23">
        <f>D31*0.07</f>
        <v>7.000000000000001</v>
      </c>
      <c r="F31" s="25">
        <f>D31*0.0075</f>
        <v>0.75</v>
      </c>
      <c r="G31" s="22"/>
      <c r="H31" s="22"/>
      <c r="I31" s="22"/>
      <c r="J31" s="150"/>
      <c r="K31" s="150"/>
    </row>
    <row r="32" spans="1:11" ht="24.75" customHeight="1" thickBot="1">
      <c r="A32" s="11">
        <v>26</v>
      </c>
      <c r="B32" s="20" t="s">
        <v>71</v>
      </c>
      <c r="C32" s="26" t="s">
        <v>32</v>
      </c>
      <c r="D32" s="21">
        <v>100</v>
      </c>
      <c r="E32" s="23">
        <f>D32*0.056</f>
        <v>5.6000000000000005</v>
      </c>
      <c r="F32" s="23">
        <f>D32*0.008</f>
        <v>0.8</v>
      </c>
      <c r="G32" s="22"/>
      <c r="H32" s="22"/>
      <c r="I32" s="22"/>
      <c r="J32" s="150"/>
      <c r="K32" s="150"/>
    </row>
    <row r="33" spans="1:11" ht="24.75" customHeight="1" thickBot="1" thickTop="1">
      <c r="A33" s="102" t="s">
        <v>99</v>
      </c>
      <c r="B33" s="164" t="s">
        <v>105</v>
      </c>
      <c r="C33" s="415" t="s">
        <v>136</v>
      </c>
      <c r="D33" s="416"/>
      <c r="E33" s="416"/>
      <c r="F33" s="416"/>
      <c r="G33" s="416"/>
      <c r="H33" s="416"/>
      <c r="I33" s="416"/>
      <c r="J33" s="416"/>
      <c r="K33" s="417"/>
    </row>
    <row r="34" spans="1:11" ht="24.75" customHeight="1" thickTop="1">
      <c r="A34" s="103">
        <v>27</v>
      </c>
      <c r="B34" s="31" t="s">
        <v>110</v>
      </c>
      <c r="C34" s="157" t="s">
        <v>32</v>
      </c>
      <c r="D34" s="116">
        <v>1</v>
      </c>
      <c r="E34" s="158"/>
      <c r="F34" s="115"/>
      <c r="G34" s="115"/>
      <c r="H34" s="116"/>
      <c r="I34" s="115"/>
      <c r="J34" s="159"/>
      <c r="K34" s="159"/>
    </row>
    <row r="35" spans="1:11" ht="24.75" customHeight="1" thickBot="1">
      <c r="A35" s="106">
        <v>28</v>
      </c>
      <c r="B35" s="31" t="s">
        <v>110</v>
      </c>
      <c r="C35" s="160" t="s">
        <v>32</v>
      </c>
      <c r="D35" s="22">
        <v>1</v>
      </c>
      <c r="E35" s="22"/>
      <c r="F35" s="22"/>
      <c r="G35" s="23"/>
      <c r="H35" s="22"/>
      <c r="I35" s="23"/>
      <c r="J35" s="150"/>
      <c r="K35" s="150"/>
    </row>
    <row r="36" spans="1:11" ht="24.75" customHeight="1" thickBot="1" thickTop="1">
      <c r="A36" s="106">
        <v>29</v>
      </c>
      <c r="B36" s="133" t="s">
        <v>111</v>
      </c>
      <c r="C36" s="161" t="s">
        <v>32</v>
      </c>
      <c r="D36" s="82">
        <v>1</v>
      </c>
      <c r="E36" s="82"/>
      <c r="F36" s="82"/>
      <c r="G36" s="81"/>
      <c r="H36" s="82"/>
      <c r="I36" s="81"/>
      <c r="J36" s="162"/>
      <c r="K36" s="163"/>
    </row>
    <row r="37" spans="1:11" ht="24.75" customHeight="1" thickBot="1" thickTop="1">
      <c r="A37" s="102" t="s">
        <v>112</v>
      </c>
      <c r="B37" s="124" t="s">
        <v>100</v>
      </c>
      <c r="C37" s="430"/>
      <c r="D37" s="431"/>
      <c r="E37" s="431"/>
      <c r="F37" s="431"/>
      <c r="G37" s="431"/>
      <c r="H37" s="431"/>
      <c r="I37" s="431"/>
      <c r="J37" s="431"/>
      <c r="K37" s="432"/>
    </row>
    <row r="38" spans="1:11" ht="24.75" customHeight="1" thickTop="1">
      <c r="A38" s="11">
        <v>30</v>
      </c>
      <c r="B38" s="20" t="s">
        <v>72</v>
      </c>
      <c r="C38" s="26" t="s">
        <v>32</v>
      </c>
      <c r="D38" s="27">
        <v>100</v>
      </c>
      <c r="E38" s="107">
        <f>D38*0.0465</f>
        <v>4.65</v>
      </c>
      <c r="F38" s="28">
        <f>D38*0.0049</f>
        <v>0.49</v>
      </c>
      <c r="G38" s="107"/>
      <c r="H38" s="107"/>
      <c r="I38" s="107"/>
      <c r="J38" s="153"/>
      <c r="K38" s="154"/>
    </row>
    <row r="39" spans="1:11" ht="24.75" customHeight="1">
      <c r="A39" s="11">
        <v>31</v>
      </c>
      <c r="B39" s="20" t="s">
        <v>73</v>
      </c>
      <c r="C39" s="26" t="s">
        <v>32</v>
      </c>
      <c r="D39" s="21">
        <v>100</v>
      </c>
      <c r="E39" s="22">
        <f>D39*0.06</f>
        <v>6</v>
      </c>
      <c r="F39" s="23">
        <f>D39*0.004</f>
        <v>0.4</v>
      </c>
      <c r="G39" s="22"/>
      <c r="H39" s="22"/>
      <c r="I39" s="22"/>
      <c r="J39" s="155"/>
      <c r="K39" s="156"/>
    </row>
  </sheetData>
  <mergeCells count="7">
    <mergeCell ref="A1:K1"/>
    <mergeCell ref="C37:K37"/>
    <mergeCell ref="C33:K33"/>
    <mergeCell ref="C18:K18"/>
    <mergeCell ref="C3:K3"/>
    <mergeCell ref="C10:K10"/>
    <mergeCell ref="C15:K15"/>
  </mergeCells>
  <printOptions horizontalCentered="1"/>
  <pageMargins left="0.25" right="0.25" top="1" bottom="1" header="0.5" footer="0.5"/>
  <pageSetup horizontalDpi="120" verticalDpi="120" orientation="portrait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9"/>
  <sheetViews>
    <sheetView view="pageBreakPreview" zoomScale="75" zoomScaleSheetLayoutView="75" workbookViewId="0" topLeftCell="A1">
      <selection activeCell="A2" sqref="A2:H2"/>
    </sheetView>
  </sheetViews>
  <sheetFormatPr defaultColWidth="9.140625" defaultRowHeight="12.75"/>
  <cols>
    <col min="1" max="1" width="9.140625" style="178" customWidth="1"/>
    <col min="2" max="2" width="13.421875" style="178" customWidth="1"/>
    <col min="3" max="3" width="14.421875" style="178" customWidth="1"/>
    <col min="4" max="4" width="13.57421875" style="178" customWidth="1"/>
    <col min="5" max="6" width="15.28125" style="178" customWidth="1"/>
    <col min="7" max="7" width="13.57421875" style="178" customWidth="1"/>
    <col min="8" max="8" width="13.140625" style="178" customWidth="1"/>
    <col min="9" max="16384" width="9.140625" style="178" customWidth="1"/>
  </cols>
  <sheetData>
    <row r="1" ht="13.5" thickBot="1"/>
    <row r="2" spans="1:8" ht="23.25" customHeight="1" thickBot="1" thickTop="1">
      <c r="A2" s="436" t="s">
        <v>294</v>
      </c>
      <c r="B2" s="437"/>
      <c r="C2" s="437"/>
      <c r="D2" s="437"/>
      <c r="E2" s="437"/>
      <c r="F2" s="437"/>
      <c r="G2" s="437"/>
      <c r="H2" s="438"/>
    </row>
    <row r="3" spans="1:8" ht="23.25" customHeight="1" thickBot="1" thickTop="1">
      <c r="A3" s="439" t="s">
        <v>296</v>
      </c>
      <c r="B3" s="440"/>
      <c r="C3" s="440"/>
      <c r="D3" s="440"/>
      <c r="E3" s="440"/>
      <c r="F3" s="440"/>
      <c r="G3" s="440"/>
      <c r="H3" s="441"/>
    </row>
    <row r="4" spans="1:8" ht="41.25" customHeight="1" thickBot="1">
      <c r="A4" s="442" t="s">
        <v>297</v>
      </c>
      <c r="B4" s="443"/>
      <c r="C4" s="443"/>
      <c r="D4" s="443"/>
      <c r="E4" s="443"/>
      <c r="F4" s="443"/>
      <c r="G4" s="443"/>
      <c r="H4" s="444"/>
    </row>
    <row r="5" spans="1:8" ht="25.5" customHeight="1" thickBot="1">
      <c r="A5" s="445" t="s">
        <v>291</v>
      </c>
      <c r="B5" s="446"/>
      <c r="C5" s="446"/>
      <c r="D5" s="446"/>
      <c r="E5" s="446"/>
      <c r="F5" s="446"/>
      <c r="G5" s="446"/>
      <c r="H5" s="447"/>
    </row>
    <row r="6" spans="1:8" ht="33" customHeight="1" thickTop="1">
      <c r="A6" s="238" t="s">
        <v>113</v>
      </c>
      <c r="B6" s="238" t="s">
        <v>114</v>
      </c>
      <c r="C6" s="238" t="s">
        <v>115</v>
      </c>
      <c r="D6" s="238" t="s">
        <v>116</v>
      </c>
      <c r="E6" s="238" t="s">
        <v>292</v>
      </c>
      <c r="F6" s="238" t="s">
        <v>293</v>
      </c>
      <c r="G6" s="238" t="s">
        <v>130</v>
      </c>
      <c r="H6" s="238" t="s">
        <v>117</v>
      </c>
    </row>
    <row r="7" spans="1:8" ht="15.75">
      <c r="A7" s="239">
        <v>3</v>
      </c>
      <c r="B7" s="297" t="s">
        <v>119</v>
      </c>
      <c r="C7" s="297">
        <v>0.11</v>
      </c>
      <c r="D7" s="297">
        <v>1.18</v>
      </c>
      <c r="E7" s="239">
        <v>0.376</v>
      </c>
      <c r="F7" s="298">
        <f>E7/2.204</f>
        <v>0.17059891107078037</v>
      </c>
      <c r="G7" s="21">
        <f>E7*1.49</f>
        <v>0.56024</v>
      </c>
      <c r="H7" s="297">
        <v>1788</v>
      </c>
    </row>
    <row r="8" spans="1:8" ht="15.75">
      <c r="A8" s="239">
        <v>4</v>
      </c>
      <c r="B8" s="297" t="s">
        <v>120</v>
      </c>
      <c r="C8" s="297">
        <v>0.2</v>
      </c>
      <c r="D8" s="297">
        <v>1.57</v>
      </c>
      <c r="E8" s="239">
        <v>0.668</v>
      </c>
      <c r="F8" s="298">
        <f aca="true" t="shared" si="0" ref="F8:F17">E8/2.204</f>
        <v>0.30308529945553536</v>
      </c>
      <c r="G8" s="303">
        <f aca="true" t="shared" si="1" ref="G8:G17">E8*1.49</f>
        <v>0.9953200000000001</v>
      </c>
      <c r="H8" s="297">
        <v>1006</v>
      </c>
    </row>
    <row r="9" spans="1:8" ht="15">
      <c r="A9" s="297">
        <v>5</v>
      </c>
      <c r="B9" s="297" t="s">
        <v>121</v>
      </c>
      <c r="C9" s="297">
        <v>0.31</v>
      </c>
      <c r="D9" s="297">
        <v>1.96</v>
      </c>
      <c r="E9" s="297">
        <v>1.043</v>
      </c>
      <c r="F9" s="302">
        <f t="shared" si="0"/>
        <v>0.47323049001814876</v>
      </c>
      <c r="G9" s="299">
        <f t="shared" si="1"/>
        <v>1.5540699999999998</v>
      </c>
      <c r="H9" s="297">
        <v>644</v>
      </c>
    </row>
    <row r="10" spans="1:8" ht="15">
      <c r="A10" s="297">
        <v>6</v>
      </c>
      <c r="B10" s="297" t="s">
        <v>122</v>
      </c>
      <c r="C10" s="297">
        <v>0.44</v>
      </c>
      <c r="D10" s="297">
        <v>2.36</v>
      </c>
      <c r="E10" s="297">
        <v>1.502</v>
      </c>
      <c r="F10" s="302">
        <f t="shared" si="0"/>
        <v>0.6814882032667876</v>
      </c>
      <c r="G10" s="300">
        <f t="shared" si="1"/>
        <v>2.23798</v>
      </c>
      <c r="H10" s="297">
        <v>447</v>
      </c>
    </row>
    <row r="11" spans="1:8" ht="15">
      <c r="A11" s="297">
        <v>7</v>
      </c>
      <c r="B11" s="297" t="s">
        <v>123</v>
      </c>
      <c r="C11" s="297">
        <v>0.6</v>
      </c>
      <c r="D11" s="297">
        <v>2.75</v>
      </c>
      <c r="E11" s="297">
        <v>2.044</v>
      </c>
      <c r="F11" s="302">
        <f t="shared" si="0"/>
        <v>0.9274047186932849</v>
      </c>
      <c r="G11" s="299">
        <f t="shared" si="1"/>
        <v>3.04556</v>
      </c>
      <c r="H11" s="297">
        <v>328</v>
      </c>
    </row>
    <row r="12" spans="1:8" ht="15.75">
      <c r="A12" s="239">
        <v>8</v>
      </c>
      <c r="B12" s="297" t="s">
        <v>124</v>
      </c>
      <c r="C12" s="297">
        <v>0.79</v>
      </c>
      <c r="D12" s="297">
        <v>3.14</v>
      </c>
      <c r="E12" s="239">
        <v>2.67</v>
      </c>
      <c r="F12" s="298">
        <f t="shared" si="0"/>
        <v>1.2114337568058076</v>
      </c>
      <c r="G12" s="301">
        <f t="shared" si="1"/>
        <v>3.9783</v>
      </c>
      <c r="H12" s="297">
        <v>251</v>
      </c>
    </row>
    <row r="13" spans="1:8" ht="15">
      <c r="A13" s="297">
        <v>9</v>
      </c>
      <c r="B13" s="297" t="s">
        <v>126</v>
      </c>
      <c r="C13" s="297">
        <v>1</v>
      </c>
      <c r="D13" s="297">
        <v>3.54</v>
      </c>
      <c r="E13" s="297">
        <v>3.4</v>
      </c>
      <c r="F13" s="302">
        <f t="shared" si="0"/>
        <v>1.542649727767695</v>
      </c>
      <c r="G13" s="300">
        <f t="shared" si="1"/>
        <v>5.066</v>
      </c>
      <c r="H13" s="297">
        <v>199</v>
      </c>
    </row>
    <row r="14" spans="1:8" ht="15">
      <c r="A14" s="297">
        <v>10</v>
      </c>
      <c r="B14" s="297" t="s">
        <v>125</v>
      </c>
      <c r="C14" s="297">
        <v>1.27</v>
      </c>
      <c r="D14" s="297">
        <v>3.99</v>
      </c>
      <c r="E14" s="297">
        <v>4.303</v>
      </c>
      <c r="F14" s="302">
        <f t="shared" si="0"/>
        <v>1.952359346642468</v>
      </c>
      <c r="G14" s="300">
        <f t="shared" si="1"/>
        <v>6.41147</v>
      </c>
      <c r="H14" s="297">
        <v>161</v>
      </c>
    </row>
    <row r="15" spans="1:8" ht="15.75">
      <c r="A15" s="239">
        <v>11</v>
      </c>
      <c r="B15" s="297" t="s">
        <v>127</v>
      </c>
      <c r="C15" s="297">
        <v>1.56</v>
      </c>
      <c r="D15" s="297">
        <v>4.43</v>
      </c>
      <c r="E15" s="239">
        <v>5.313</v>
      </c>
      <c r="F15" s="298">
        <f t="shared" si="0"/>
        <v>2.410617059891107</v>
      </c>
      <c r="G15" s="301">
        <f t="shared" si="1"/>
        <v>7.91637</v>
      </c>
      <c r="H15" s="297">
        <v>133</v>
      </c>
    </row>
    <row r="16" spans="1:8" ht="15">
      <c r="A16" s="297">
        <v>14</v>
      </c>
      <c r="B16" s="297" t="s">
        <v>128</v>
      </c>
      <c r="C16" s="297">
        <v>2.25</v>
      </c>
      <c r="D16" s="297">
        <v>5.32</v>
      </c>
      <c r="E16" s="297">
        <v>7.65</v>
      </c>
      <c r="F16" s="302">
        <f t="shared" si="0"/>
        <v>3.470961887477314</v>
      </c>
      <c r="G16" s="300">
        <f t="shared" si="1"/>
        <v>11.3985</v>
      </c>
      <c r="H16" s="297"/>
    </row>
    <row r="17" spans="1:8" ht="15.75" thickBot="1">
      <c r="A17" s="297">
        <v>18</v>
      </c>
      <c r="B17" s="297" t="s">
        <v>129</v>
      </c>
      <c r="C17" s="297">
        <v>4</v>
      </c>
      <c r="D17" s="297">
        <v>7.09</v>
      </c>
      <c r="E17" s="297">
        <v>13.6</v>
      </c>
      <c r="F17" s="302">
        <f t="shared" si="0"/>
        <v>6.17059891107078</v>
      </c>
      <c r="G17" s="300">
        <f t="shared" si="1"/>
        <v>20.264</v>
      </c>
      <c r="H17" s="297"/>
    </row>
    <row r="18" spans="1:8" ht="21.75" thickBot="1" thickTop="1">
      <c r="A18" s="436" t="s">
        <v>295</v>
      </c>
      <c r="B18" s="437"/>
      <c r="C18" s="437"/>
      <c r="D18" s="437"/>
      <c r="E18" s="437"/>
      <c r="F18" s="437"/>
      <c r="G18" s="437"/>
      <c r="H18" s="438"/>
    </row>
    <row r="19" spans="1:8" ht="32.25" thickTop="1">
      <c r="A19" s="239" t="s">
        <v>131</v>
      </c>
      <c r="B19" s="239" t="s">
        <v>115</v>
      </c>
      <c r="C19" s="239" t="s">
        <v>130</v>
      </c>
      <c r="D19" s="239" t="s">
        <v>132</v>
      </c>
      <c r="E19" s="239" t="s">
        <v>117</v>
      </c>
      <c r="F19" s="239"/>
      <c r="G19" s="239" t="s">
        <v>118</v>
      </c>
      <c r="H19" s="239"/>
    </row>
    <row r="20" spans="1:8" ht="15">
      <c r="A20" s="297">
        <v>8</v>
      </c>
      <c r="B20" s="297">
        <v>50.3</v>
      </c>
      <c r="C20" s="297">
        <v>0.395</v>
      </c>
      <c r="D20" s="299">
        <f>C20*0.673</f>
        <v>0.26583500000000004</v>
      </c>
      <c r="E20" s="297">
        <v>2532</v>
      </c>
      <c r="F20" s="297"/>
      <c r="G20" s="297">
        <v>8305</v>
      </c>
      <c r="H20" s="297"/>
    </row>
    <row r="21" spans="1:8" ht="15">
      <c r="A21" s="297">
        <v>10</v>
      </c>
      <c r="B21" s="297">
        <v>78.5</v>
      </c>
      <c r="C21" s="297">
        <v>0.616</v>
      </c>
      <c r="D21" s="299">
        <f aca="true" t="shared" si="2" ref="D21:D29">C21*0.673</f>
        <v>0.41456800000000005</v>
      </c>
      <c r="E21" s="297">
        <v>1623</v>
      </c>
      <c r="F21" s="297"/>
      <c r="G21" s="297">
        <v>5324</v>
      </c>
      <c r="H21" s="297"/>
    </row>
    <row r="22" spans="1:8" ht="15">
      <c r="A22" s="297">
        <v>12</v>
      </c>
      <c r="B22" s="297">
        <v>113.1</v>
      </c>
      <c r="C22" s="297">
        <v>0.888</v>
      </c>
      <c r="D22" s="299">
        <f t="shared" si="2"/>
        <v>0.597624</v>
      </c>
      <c r="E22" s="297">
        <v>1126</v>
      </c>
      <c r="F22" s="297"/>
      <c r="G22" s="297">
        <v>3693</v>
      </c>
      <c r="H22" s="297"/>
    </row>
    <row r="23" spans="1:8" ht="15">
      <c r="A23" s="297">
        <v>16</v>
      </c>
      <c r="B23" s="297">
        <v>201.1</v>
      </c>
      <c r="C23" s="297">
        <v>1.579</v>
      </c>
      <c r="D23" s="299">
        <f t="shared" si="2"/>
        <v>1.062667</v>
      </c>
      <c r="E23" s="297">
        <v>633</v>
      </c>
      <c r="F23" s="297"/>
      <c r="G23" s="297">
        <v>2076</v>
      </c>
      <c r="H23" s="297"/>
    </row>
    <row r="24" spans="1:8" ht="15">
      <c r="A24" s="297">
        <v>20</v>
      </c>
      <c r="B24" s="297">
        <v>314.2</v>
      </c>
      <c r="C24" s="297">
        <v>2.466</v>
      </c>
      <c r="D24" s="299">
        <f t="shared" si="2"/>
        <v>1.6596180000000003</v>
      </c>
      <c r="E24" s="297">
        <v>406</v>
      </c>
      <c r="F24" s="297"/>
      <c r="G24" s="297">
        <v>1332</v>
      </c>
      <c r="H24" s="297"/>
    </row>
    <row r="25" spans="1:8" ht="15">
      <c r="A25" s="297">
        <v>22</v>
      </c>
      <c r="B25" s="297">
        <v>380.1</v>
      </c>
      <c r="C25" s="297">
        <v>2.984</v>
      </c>
      <c r="D25" s="299">
        <f t="shared" si="2"/>
        <v>2.008232</v>
      </c>
      <c r="E25" s="297">
        <v>335</v>
      </c>
      <c r="F25" s="297"/>
      <c r="G25" s="297">
        <v>1100</v>
      </c>
      <c r="H25" s="297"/>
    </row>
    <row r="26" spans="1:8" ht="15">
      <c r="A26" s="297">
        <v>25</v>
      </c>
      <c r="B26" s="297">
        <v>490.9</v>
      </c>
      <c r="C26" s="297">
        <v>3.854</v>
      </c>
      <c r="D26" s="299">
        <f t="shared" si="2"/>
        <v>2.593742</v>
      </c>
      <c r="E26" s="297">
        <v>259</v>
      </c>
      <c r="F26" s="297"/>
      <c r="G26" s="297">
        <v>850</v>
      </c>
      <c r="H26" s="297"/>
    </row>
    <row r="27" spans="1:8" ht="15">
      <c r="A27" s="297">
        <v>28</v>
      </c>
      <c r="B27" s="297">
        <v>615.8</v>
      </c>
      <c r="C27" s="297">
        <v>4.834</v>
      </c>
      <c r="D27" s="299">
        <f t="shared" si="2"/>
        <v>3.253282</v>
      </c>
      <c r="E27" s="297">
        <v>207</v>
      </c>
      <c r="F27" s="297"/>
      <c r="G27" s="297">
        <v>678</v>
      </c>
      <c r="H27" s="297"/>
    </row>
    <row r="28" spans="1:8" ht="15">
      <c r="A28" s="297">
        <v>32</v>
      </c>
      <c r="B28" s="297">
        <v>804.3</v>
      </c>
      <c r="C28" s="297">
        <v>6.313</v>
      </c>
      <c r="D28" s="299">
        <f t="shared" si="2"/>
        <v>4.248649</v>
      </c>
      <c r="E28" s="297">
        <v>158</v>
      </c>
      <c r="F28" s="297"/>
      <c r="G28" s="297">
        <v>518</v>
      </c>
      <c r="H28" s="297"/>
    </row>
    <row r="29" spans="1:8" ht="15">
      <c r="A29" s="297">
        <v>36</v>
      </c>
      <c r="B29" s="297">
        <v>1017.9</v>
      </c>
      <c r="C29" s="297">
        <v>7.99</v>
      </c>
      <c r="D29" s="299">
        <f t="shared" si="2"/>
        <v>5.37727</v>
      </c>
      <c r="E29" s="297">
        <v>125</v>
      </c>
      <c r="F29" s="297"/>
      <c r="G29" s="297">
        <v>410</v>
      </c>
      <c r="H29" s="297"/>
    </row>
  </sheetData>
  <mergeCells count="5">
    <mergeCell ref="A18:H18"/>
    <mergeCell ref="A2:H2"/>
    <mergeCell ref="A3:H3"/>
    <mergeCell ref="A4:H4"/>
    <mergeCell ref="A5:H5"/>
  </mergeCells>
  <printOptions horizontalCentered="1"/>
  <pageMargins left="0.25" right="0.25" top="0.75" bottom="1" header="0.5" footer="0.5"/>
  <pageSetup fitToHeight="1" fitToWidth="1" horizontalDpi="120" verticalDpi="12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25"/>
  <sheetViews>
    <sheetView view="pageBreakPreview" zoomScale="75" zoomScaleNormal="75" zoomScaleSheetLayoutView="75" workbookViewId="0" topLeftCell="B4">
      <selection activeCell="C23" sqref="C23"/>
    </sheetView>
  </sheetViews>
  <sheetFormatPr defaultColWidth="9.140625" defaultRowHeight="12.75"/>
  <cols>
    <col min="2" max="2" width="64.8515625" style="0" customWidth="1"/>
    <col min="3" max="3" width="21.421875" style="0" customWidth="1"/>
    <col min="4" max="4" width="21.8515625" style="0" customWidth="1"/>
    <col min="5" max="5" width="26.28125" style="0" customWidth="1"/>
  </cols>
  <sheetData>
    <row r="3" ht="13.5" thickBot="1"/>
    <row r="4" spans="1:5" ht="30.75" customHeight="1" thickBot="1" thickTop="1">
      <c r="A4" s="220" t="s">
        <v>15</v>
      </c>
      <c r="B4" s="221" t="s">
        <v>164</v>
      </c>
      <c r="C4" s="221" t="s">
        <v>165</v>
      </c>
      <c r="D4" s="221" t="s">
        <v>166</v>
      </c>
      <c r="E4" s="222" t="s">
        <v>167</v>
      </c>
    </row>
    <row r="5" spans="1:5" ht="24.75" customHeight="1" thickTop="1">
      <c r="A5" s="223">
        <v>1</v>
      </c>
      <c r="B5" s="224" t="s">
        <v>168</v>
      </c>
      <c r="C5" s="225" t="s">
        <v>169</v>
      </c>
      <c r="D5" s="225"/>
      <c r="E5" s="289" t="s">
        <v>226</v>
      </c>
    </row>
    <row r="6" spans="1:5" ht="24.75" customHeight="1">
      <c r="A6" s="226">
        <v>2</v>
      </c>
      <c r="B6" s="227" t="s">
        <v>170</v>
      </c>
      <c r="C6" s="228"/>
      <c r="D6" s="228"/>
      <c r="E6" s="289" t="s">
        <v>226</v>
      </c>
    </row>
    <row r="7" spans="1:5" ht="24.75" customHeight="1">
      <c r="A7" s="226">
        <v>3</v>
      </c>
      <c r="B7" s="227" t="s">
        <v>171</v>
      </c>
      <c r="C7" s="228" t="s">
        <v>172</v>
      </c>
      <c r="D7" s="228" t="s">
        <v>173</v>
      </c>
      <c r="E7" s="289" t="s">
        <v>310</v>
      </c>
    </row>
    <row r="8" spans="1:5" ht="24.75" customHeight="1">
      <c r="A8" s="226">
        <v>4</v>
      </c>
      <c r="B8" s="227" t="s">
        <v>174</v>
      </c>
      <c r="C8" s="228" t="s">
        <v>175</v>
      </c>
      <c r="D8" s="228" t="s">
        <v>173</v>
      </c>
      <c r="E8" s="289" t="s">
        <v>310</v>
      </c>
    </row>
    <row r="9" spans="1:5" ht="24.75" customHeight="1">
      <c r="A9" s="226">
        <v>5</v>
      </c>
      <c r="B9" s="227" t="s">
        <v>176</v>
      </c>
      <c r="C9" s="228"/>
      <c r="D9" s="228"/>
      <c r="E9" s="289"/>
    </row>
    <row r="10" spans="1:5" ht="24.75" customHeight="1">
      <c r="A10" s="226">
        <v>6</v>
      </c>
      <c r="B10" s="227" t="s">
        <v>177</v>
      </c>
      <c r="C10" s="228" t="s">
        <v>178</v>
      </c>
      <c r="D10" s="228" t="s">
        <v>173</v>
      </c>
      <c r="E10" s="289" t="s">
        <v>310</v>
      </c>
    </row>
    <row r="11" spans="1:5" ht="24.75" customHeight="1">
      <c r="A11" s="226">
        <v>7</v>
      </c>
      <c r="B11" s="227" t="s">
        <v>100</v>
      </c>
      <c r="C11" s="228" t="s">
        <v>179</v>
      </c>
      <c r="D11" s="228" t="s">
        <v>173</v>
      </c>
      <c r="E11" s="289" t="s">
        <v>310</v>
      </c>
    </row>
    <row r="12" spans="1:5" ht="24.75" customHeight="1">
      <c r="A12" s="226">
        <v>8</v>
      </c>
      <c r="B12" s="227" t="s">
        <v>180</v>
      </c>
      <c r="C12" s="228" t="s">
        <v>181</v>
      </c>
      <c r="D12" s="228" t="s">
        <v>173</v>
      </c>
      <c r="E12" s="289" t="s">
        <v>310</v>
      </c>
    </row>
    <row r="13" spans="1:5" ht="24.75" customHeight="1">
      <c r="A13" s="226">
        <v>9</v>
      </c>
      <c r="B13" s="227" t="s">
        <v>182</v>
      </c>
      <c r="C13" s="228"/>
      <c r="D13" s="228"/>
      <c r="E13" s="289"/>
    </row>
    <row r="14" spans="1:5" ht="24.75" customHeight="1">
      <c r="A14" s="226">
        <v>10</v>
      </c>
      <c r="B14" s="227" t="s">
        <v>183</v>
      </c>
      <c r="C14" s="228"/>
      <c r="D14" s="228"/>
      <c r="E14" s="289"/>
    </row>
    <row r="15" spans="1:5" ht="24.75" customHeight="1">
      <c r="A15" s="226">
        <v>11</v>
      </c>
      <c r="B15" s="227" t="s">
        <v>184</v>
      </c>
      <c r="C15" s="228"/>
      <c r="D15" s="228"/>
      <c r="E15" s="289"/>
    </row>
    <row r="16" spans="1:5" ht="24.75" customHeight="1">
      <c r="A16" s="226">
        <v>12</v>
      </c>
      <c r="B16" s="227" t="s">
        <v>185</v>
      </c>
      <c r="C16" s="228" t="s">
        <v>186</v>
      </c>
      <c r="D16" s="228"/>
      <c r="E16" s="289" t="s">
        <v>226</v>
      </c>
    </row>
    <row r="17" spans="1:5" ht="24.75" customHeight="1">
      <c r="A17" s="226">
        <v>13</v>
      </c>
      <c r="B17" s="227" t="s">
        <v>187</v>
      </c>
      <c r="C17" s="228" t="s">
        <v>186</v>
      </c>
      <c r="D17" s="228"/>
      <c r="E17" s="289" t="s">
        <v>226</v>
      </c>
    </row>
    <row r="18" spans="1:5" ht="24.75" customHeight="1">
      <c r="A18" s="226">
        <v>14</v>
      </c>
      <c r="B18" s="227" t="s">
        <v>188</v>
      </c>
      <c r="C18" s="228" t="s">
        <v>186</v>
      </c>
      <c r="D18" s="228"/>
      <c r="E18" s="289" t="s">
        <v>226</v>
      </c>
    </row>
    <row r="19" spans="1:5" ht="24.75" customHeight="1">
      <c r="A19" s="226">
        <v>15</v>
      </c>
      <c r="B19" s="227" t="s">
        <v>163</v>
      </c>
      <c r="C19" s="228"/>
      <c r="D19" s="228" t="s">
        <v>173</v>
      </c>
      <c r="E19" s="289" t="s">
        <v>226</v>
      </c>
    </row>
    <row r="20" spans="1:5" ht="24.75" customHeight="1">
      <c r="A20" s="226">
        <v>16</v>
      </c>
      <c r="B20" s="227" t="s">
        <v>189</v>
      </c>
      <c r="C20" s="228" t="s">
        <v>313</v>
      </c>
      <c r="D20" s="228" t="s">
        <v>173</v>
      </c>
      <c r="E20" s="289" t="s">
        <v>310</v>
      </c>
    </row>
    <row r="21" spans="1:5" ht="24.75" customHeight="1">
      <c r="A21" s="226"/>
      <c r="B21" s="227" t="s">
        <v>311</v>
      </c>
      <c r="C21" s="228" t="s">
        <v>312</v>
      </c>
      <c r="D21" s="228" t="s">
        <v>173</v>
      </c>
      <c r="E21" s="289" t="s">
        <v>310</v>
      </c>
    </row>
    <row r="22" spans="1:5" ht="24.75" customHeight="1">
      <c r="A22" s="226">
        <v>17</v>
      </c>
      <c r="B22" s="227" t="s">
        <v>190</v>
      </c>
      <c r="C22" s="228" t="s">
        <v>314</v>
      </c>
      <c r="D22" s="228" t="s">
        <v>316</v>
      </c>
      <c r="E22" s="229"/>
    </row>
    <row r="23" spans="1:5" ht="24.75" customHeight="1">
      <c r="A23" s="230">
        <v>18</v>
      </c>
      <c r="B23" s="231" t="s">
        <v>191</v>
      </c>
      <c r="C23" s="232"/>
      <c r="D23" s="232"/>
      <c r="E23" s="233"/>
    </row>
    <row r="24" spans="1:5" ht="24.75" customHeight="1">
      <c r="A24" s="234">
        <v>19</v>
      </c>
      <c r="B24" s="235" t="s">
        <v>192</v>
      </c>
      <c r="C24" s="236"/>
      <c r="D24" s="236"/>
      <c r="E24" s="237"/>
    </row>
    <row r="25" spans="1:5" ht="24.75" customHeight="1">
      <c r="A25" s="226">
        <v>20</v>
      </c>
      <c r="B25" s="227" t="s">
        <v>315</v>
      </c>
      <c r="C25" s="228"/>
      <c r="D25" s="228"/>
      <c r="E25" s="229"/>
    </row>
  </sheetData>
  <printOptions horizontalCentered="1"/>
  <pageMargins left="0.25" right="0.25" top="0.75" bottom="1" header="0.5" footer="0.5"/>
  <pageSetup fitToHeight="1" fitToWidth="1" horizontalDpi="600" verticalDpi="600" orientation="landscape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4"/>
  <sheetViews>
    <sheetView view="pageBreakPreview" zoomScale="75" zoomScaleSheetLayoutView="75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5" sqref="C5"/>
    </sheetView>
  </sheetViews>
  <sheetFormatPr defaultColWidth="9.140625" defaultRowHeight="12.75"/>
  <cols>
    <col min="2" max="2" width="30.28125" style="0" customWidth="1"/>
    <col min="3" max="3" width="8.57421875" style="0" customWidth="1"/>
    <col min="4" max="4" width="12.140625" style="284" customWidth="1"/>
    <col min="5" max="5" width="12.00390625" style="285" customWidth="1"/>
    <col min="6" max="6" width="12.8515625" style="286" customWidth="1"/>
    <col min="7" max="8" width="12.8515625" style="0" customWidth="1"/>
    <col min="12" max="12" width="11.57421875" style="0" customWidth="1"/>
    <col min="13" max="13" width="10.8515625" style="0" customWidth="1"/>
    <col min="15" max="15" width="11.7109375" style="0" customWidth="1"/>
  </cols>
  <sheetData>
    <row r="1" spans="1:8" ht="30" customHeight="1">
      <c r="A1" s="448" t="s">
        <v>193</v>
      </c>
      <c r="B1" s="449"/>
      <c r="C1" s="449"/>
      <c r="D1" s="449"/>
      <c r="E1" s="449"/>
      <c r="F1" s="449"/>
      <c r="G1" s="449"/>
      <c r="H1" s="449"/>
    </row>
    <row r="2" spans="1:8" ht="30" customHeight="1">
      <c r="A2" s="246"/>
      <c r="B2" s="246"/>
      <c r="C2" s="246"/>
      <c r="D2" s="247"/>
      <c r="E2" s="248"/>
      <c r="F2" s="249"/>
      <c r="G2" s="246"/>
      <c r="H2" s="246"/>
    </row>
    <row r="3" spans="1:15" ht="30" customHeight="1">
      <c r="A3" s="250" t="s">
        <v>194</v>
      </c>
      <c r="B3" s="250" t="s">
        <v>195</v>
      </c>
      <c r="C3" s="250" t="s">
        <v>0</v>
      </c>
      <c r="D3" s="290" t="s">
        <v>196</v>
      </c>
      <c r="E3" s="251" t="s">
        <v>197</v>
      </c>
      <c r="F3" s="252" t="s">
        <v>198</v>
      </c>
      <c r="G3" s="253" t="s">
        <v>199</v>
      </c>
      <c r="H3" s="165" t="s">
        <v>200</v>
      </c>
      <c r="I3" s="165" t="s">
        <v>201</v>
      </c>
      <c r="J3" s="165" t="s">
        <v>202</v>
      </c>
      <c r="K3" s="165" t="s">
        <v>203</v>
      </c>
      <c r="L3" s="165" t="s">
        <v>204</v>
      </c>
      <c r="M3" s="165" t="s">
        <v>205</v>
      </c>
      <c r="N3" s="165" t="s">
        <v>206</v>
      </c>
      <c r="O3" s="165" t="s">
        <v>207</v>
      </c>
    </row>
    <row r="4" spans="1:15" ht="30" customHeight="1">
      <c r="A4" s="254">
        <v>1</v>
      </c>
      <c r="B4" s="255" t="s">
        <v>208</v>
      </c>
      <c r="C4" s="254">
        <v>1</v>
      </c>
      <c r="D4" s="361">
        <f>+C4/100*9</f>
        <v>0.09</v>
      </c>
      <c r="E4" s="295">
        <f>+(4/13)*1.54*C4</f>
        <v>0.47384615384615386</v>
      </c>
      <c r="F4" s="296">
        <f>+((8/13)*1.54*C4)</f>
        <v>0.9476923076923077</v>
      </c>
      <c r="G4" s="258"/>
      <c r="H4" s="259"/>
      <c r="I4" s="259"/>
      <c r="J4" s="259"/>
      <c r="K4" s="259"/>
      <c r="L4" s="259"/>
      <c r="M4" s="259"/>
      <c r="N4" s="264">
        <f>+C4/100*1</f>
        <v>0.01</v>
      </c>
      <c r="O4" s="360">
        <f>+C4/100*3</f>
        <v>0.03</v>
      </c>
    </row>
    <row r="5" spans="1:15" ht="30" customHeight="1">
      <c r="A5" s="254">
        <v>2</v>
      </c>
      <c r="B5" s="255" t="s">
        <v>209</v>
      </c>
      <c r="C5" s="254">
        <v>1</v>
      </c>
      <c r="D5" s="361">
        <f>+C5/100*17</f>
        <v>0.17</v>
      </c>
      <c r="E5" s="295">
        <f>+(2/7)*1.54*C5</f>
        <v>0.44</v>
      </c>
      <c r="F5" s="362">
        <f>+((4/7)*1.54*C5)</f>
        <v>0.88</v>
      </c>
      <c r="G5" s="258"/>
      <c r="H5" s="259"/>
      <c r="I5" s="259"/>
      <c r="J5" s="259"/>
      <c r="K5" s="259"/>
      <c r="L5" s="259"/>
      <c r="M5" s="259"/>
      <c r="N5" s="360">
        <f aca="true" t="shared" si="0" ref="N5:N10">+C5/100*1</f>
        <v>0.01</v>
      </c>
      <c r="O5" s="360">
        <f aca="true" t="shared" si="1" ref="O5:O10">+C5/100*3</f>
        <v>0.03</v>
      </c>
    </row>
    <row r="6" spans="1:15" ht="30" customHeight="1">
      <c r="A6" s="254">
        <v>3</v>
      </c>
      <c r="B6" s="255" t="s">
        <v>210</v>
      </c>
      <c r="C6" s="254">
        <v>1</v>
      </c>
      <c r="D6" s="256">
        <f>+C6/100*5</f>
        <v>0.05</v>
      </c>
      <c r="E6" s="257">
        <f>+C6/100*25</f>
        <v>0.25</v>
      </c>
      <c r="F6" s="260"/>
      <c r="G6" s="367">
        <f>+C6/100*1360</f>
        <v>13.6</v>
      </c>
      <c r="H6" s="259"/>
      <c r="I6" s="254"/>
      <c r="J6" s="254"/>
      <c r="K6" s="259"/>
      <c r="L6" s="259"/>
      <c r="M6" s="254"/>
      <c r="N6" s="360">
        <f t="shared" si="0"/>
        <v>0.01</v>
      </c>
      <c r="O6" s="360">
        <f t="shared" si="1"/>
        <v>0.03</v>
      </c>
    </row>
    <row r="7" spans="1:15" ht="30" customHeight="1">
      <c r="A7" s="254">
        <v>4</v>
      </c>
      <c r="B7" s="255" t="s">
        <v>211</v>
      </c>
      <c r="C7" s="254">
        <v>1</v>
      </c>
      <c r="D7" s="256">
        <f>+C7/100*6</f>
        <v>0.06</v>
      </c>
      <c r="E7" s="261">
        <f>+C7/100*23</f>
        <v>0.23</v>
      </c>
      <c r="F7" s="260"/>
      <c r="G7" s="367">
        <f>+C7/100*1360</f>
        <v>13.6</v>
      </c>
      <c r="H7" s="259"/>
      <c r="I7" s="254"/>
      <c r="J7" s="254"/>
      <c r="K7" s="259"/>
      <c r="L7" s="259"/>
      <c r="M7" s="254"/>
      <c r="N7" s="360">
        <f t="shared" si="0"/>
        <v>0.01</v>
      </c>
      <c r="O7" s="360">
        <f t="shared" si="1"/>
        <v>0.03</v>
      </c>
    </row>
    <row r="8" spans="1:15" ht="30" customHeight="1">
      <c r="A8" s="254">
        <v>5</v>
      </c>
      <c r="B8" s="255" t="s">
        <v>212</v>
      </c>
      <c r="C8" s="254">
        <v>1</v>
      </c>
      <c r="D8" s="361">
        <f>+C8/100*3.5</f>
        <v>0.035</v>
      </c>
      <c r="E8" s="257">
        <f>+C8/100*26</f>
        <v>0.26</v>
      </c>
      <c r="F8" s="260"/>
      <c r="G8" s="367">
        <f>+C8/100*1360</f>
        <v>13.6</v>
      </c>
      <c r="H8" s="259"/>
      <c r="I8" s="254"/>
      <c r="J8" s="254"/>
      <c r="K8" s="259"/>
      <c r="L8" s="259"/>
      <c r="M8" s="254"/>
      <c r="N8" s="360">
        <f t="shared" si="0"/>
        <v>0.01</v>
      </c>
      <c r="O8" s="360">
        <f t="shared" si="1"/>
        <v>0.03</v>
      </c>
    </row>
    <row r="9" spans="1:15" ht="30" customHeight="1">
      <c r="A9" s="254">
        <v>6</v>
      </c>
      <c r="B9" s="255" t="s">
        <v>213</v>
      </c>
      <c r="C9" s="254">
        <v>1</v>
      </c>
      <c r="D9" s="262"/>
      <c r="E9" s="261"/>
      <c r="F9" s="260"/>
      <c r="G9" s="263"/>
      <c r="H9" s="363">
        <f>+(C9*0.668)/2204</f>
        <v>0.00030308529945553543</v>
      </c>
      <c r="I9" s="254"/>
      <c r="J9" s="254"/>
      <c r="K9" s="254"/>
      <c r="L9" s="254"/>
      <c r="M9" s="254"/>
      <c r="N9" s="360">
        <f t="shared" si="0"/>
        <v>0.01</v>
      </c>
      <c r="O9" s="360">
        <f t="shared" si="1"/>
        <v>0.03</v>
      </c>
    </row>
    <row r="10" spans="1:15" ht="30" customHeight="1">
      <c r="A10" s="254">
        <v>7</v>
      </c>
      <c r="B10" s="255" t="s">
        <v>214</v>
      </c>
      <c r="C10" s="254">
        <v>1</v>
      </c>
      <c r="D10" s="262"/>
      <c r="E10" s="261"/>
      <c r="F10" s="260"/>
      <c r="G10" s="263"/>
      <c r="H10" s="363">
        <f>+(C10*0.375)/2204</f>
        <v>0.00017014519056261342</v>
      </c>
      <c r="I10" s="254"/>
      <c r="J10" s="254"/>
      <c r="K10" s="254"/>
      <c r="L10" s="254"/>
      <c r="M10" s="254"/>
      <c r="N10" s="360">
        <f t="shared" si="0"/>
        <v>0.01</v>
      </c>
      <c r="O10" s="360">
        <f t="shared" si="1"/>
        <v>0.03</v>
      </c>
    </row>
    <row r="11" spans="1:15" ht="30" customHeight="1">
      <c r="A11" s="254">
        <v>8</v>
      </c>
      <c r="B11" s="255" t="s">
        <v>215</v>
      </c>
      <c r="C11" s="254">
        <v>1</v>
      </c>
      <c r="D11" s="262"/>
      <c r="E11" s="261"/>
      <c r="F11" s="260"/>
      <c r="G11" s="263"/>
      <c r="H11" s="254"/>
      <c r="I11" s="259">
        <f>+C11/0.347</f>
        <v>2.8818443804034586</v>
      </c>
      <c r="J11" s="254"/>
      <c r="K11" s="254"/>
      <c r="L11" s="254"/>
      <c r="M11" s="259"/>
      <c r="N11" s="360"/>
      <c r="O11" s="254"/>
    </row>
    <row r="12" spans="1:15" ht="30" customHeight="1">
      <c r="A12" s="254">
        <v>9</v>
      </c>
      <c r="B12" s="255" t="s">
        <v>216</v>
      </c>
      <c r="C12" s="254">
        <v>1</v>
      </c>
      <c r="D12" s="262"/>
      <c r="E12" s="261"/>
      <c r="F12" s="260"/>
      <c r="G12" s="263"/>
      <c r="H12" s="254"/>
      <c r="I12" s="254"/>
      <c r="J12" s="254"/>
      <c r="K12" s="254"/>
      <c r="L12" s="254"/>
      <c r="M12" s="360">
        <f>+((C12/100)*20)/2.2</f>
        <v>0.09090909090909091</v>
      </c>
      <c r="N12" s="254"/>
      <c r="O12" s="254"/>
    </row>
    <row r="13" spans="1:15" ht="30" customHeight="1">
      <c r="A13" s="254">
        <v>10</v>
      </c>
      <c r="B13" s="265" t="s">
        <v>217</v>
      </c>
      <c r="C13" s="254">
        <v>1</v>
      </c>
      <c r="D13" s="262"/>
      <c r="E13" s="261"/>
      <c r="F13" s="260"/>
      <c r="G13" s="263"/>
      <c r="H13" s="254"/>
      <c r="I13" s="254"/>
      <c r="J13" s="254"/>
      <c r="K13" s="254"/>
      <c r="L13" s="360">
        <f>+C13</f>
        <v>1</v>
      </c>
      <c r="M13" s="254"/>
      <c r="N13" s="254"/>
      <c r="O13" s="254"/>
    </row>
    <row r="14" spans="1:15" s="178" customFormat="1" ht="30" customHeight="1">
      <c r="A14" s="266">
        <v>11</v>
      </c>
      <c r="B14" s="267" t="s">
        <v>218</v>
      </c>
      <c r="C14" s="254">
        <v>1</v>
      </c>
      <c r="D14" s="268">
        <f>+C14/100*17.11*0.16</f>
        <v>0.027376</v>
      </c>
      <c r="E14" s="366">
        <f>+(2/7)*1.54*C14</f>
        <v>0.44</v>
      </c>
      <c r="F14" s="368">
        <f>+((4/7)*1.54*C14)</f>
        <v>0.88</v>
      </c>
      <c r="G14" s="269"/>
      <c r="H14" s="270"/>
      <c r="I14" s="270"/>
      <c r="J14" s="270"/>
      <c r="K14" s="270"/>
      <c r="L14" s="270"/>
      <c r="M14" s="270"/>
      <c r="N14" s="270"/>
      <c r="O14" s="270"/>
    </row>
    <row r="15" spans="1:15" ht="30" customHeight="1">
      <c r="A15" s="254">
        <v>12</v>
      </c>
      <c r="B15" s="255" t="s">
        <v>219</v>
      </c>
      <c r="C15" s="254">
        <v>1</v>
      </c>
      <c r="D15" s="271"/>
      <c r="E15" s="272"/>
      <c r="F15" s="273"/>
      <c r="G15" s="274"/>
      <c r="H15" s="275"/>
      <c r="I15" s="276"/>
      <c r="J15" s="364">
        <f>+((C15/100)*0.333)</f>
        <v>0.00333</v>
      </c>
      <c r="K15" s="275"/>
      <c r="L15" s="275"/>
      <c r="M15" s="276"/>
      <c r="N15" s="275"/>
      <c r="O15" s="275"/>
    </row>
    <row r="16" spans="1:15" ht="30" customHeight="1">
      <c r="A16" s="254">
        <v>13</v>
      </c>
      <c r="B16" s="265" t="s">
        <v>220</v>
      </c>
      <c r="C16" s="254">
        <v>1</v>
      </c>
      <c r="D16" s="333">
        <f>+C16/100*1.3</f>
        <v>0.013000000000000001</v>
      </c>
      <c r="E16" s="272">
        <f>+C16/100*5</f>
        <v>0.05</v>
      </c>
      <c r="F16" s="273"/>
      <c r="G16" s="274"/>
      <c r="H16" s="275"/>
      <c r="I16" s="275"/>
      <c r="J16" s="275"/>
      <c r="K16" s="275"/>
      <c r="L16" s="275"/>
      <c r="M16" s="275"/>
      <c r="N16" s="275">
        <f>+C16/100*1</f>
        <v>0.01</v>
      </c>
      <c r="O16" s="360">
        <f>+C16/100*2</f>
        <v>0.02</v>
      </c>
    </row>
    <row r="17" spans="1:15" ht="30" customHeight="1">
      <c r="A17" s="254">
        <v>14</v>
      </c>
      <c r="B17" s="265" t="s">
        <v>221</v>
      </c>
      <c r="C17" s="254">
        <v>1</v>
      </c>
      <c r="D17" s="333">
        <f>+C17/100*1.3</f>
        <v>0.013000000000000001</v>
      </c>
      <c r="E17" s="272">
        <f>+C17/100*5</f>
        <v>0.05</v>
      </c>
      <c r="F17" s="273"/>
      <c r="G17" s="274"/>
      <c r="H17" s="275"/>
      <c r="I17" s="275"/>
      <c r="J17" s="275"/>
      <c r="K17" s="275"/>
      <c r="L17" s="275"/>
      <c r="M17" s="275"/>
      <c r="N17" s="275">
        <f>+C17/100*1</f>
        <v>0.01</v>
      </c>
      <c r="O17" s="360">
        <f>+C17/100*2</f>
        <v>0.02</v>
      </c>
    </row>
    <row r="18" spans="1:15" ht="30" customHeight="1">
      <c r="A18" s="254">
        <v>15</v>
      </c>
      <c r="B18" s="227" t="s">
        <v>222</v>
      </c>
      <c r="C18" s="254">
        <v>1</v>
      </c>
      <c r="D18" s="365">
        <f>+C18/100*1.3</f>
        <v>0.013000000000000001</v>
      </c>
      <c r="E18" s="272">
        <f>+C18/100*5</f>
        <v>0.05</v>
      </c>
      <c r="F18" s="277">
        <f>+((6/10)*1.54*C18)</f>
        <v>0.9239999999999999</v>
      </c>
      <c r="G18" s="274"/>
      <c r="H18" s="275"/>
      <c r="I18" s="275"/>
      <c r="J18" s="275"/>
      <c r="K18" s="275"/>
      <c r="L18" s="275"/>
      <c r="M18" s="275"/>
      <c r="N18" s="275">
        <f>+C18/100*1</f>
        <v>0.01</v>
      </c>
      <c r="O18" s="360">
        <f>+C18/100*2</f>
        <v>0.02</v>
      </c>
    </row>
    <row r="19" spans="1:15" ht="24.75" customHeight="1">
      <c r="A19" s="254">
        <v>16</v>
      </c>
      <c r="B19" s="227" t="s">
        <v>223</v>
      </c>
      <c r="C19" s="254">
        <v>1</v>
      </c>
      <c r="D19" s="271">
        <f>+C19/100*1.3</f>
        <v>0.013000000000000001</v>
      </c>
      <c r="E19" s="272">
        <f>+C19/100*5</f>
        <v>0.05</v>
      </c>
      <c r="F19" s="277">
        <f>+((6/10)*1.54*C19)</f>
        <v>0.9239999999999999</v>
      </c>
      <c r="G19" s="274"/>
      <c r="H19" s="275"/>
      <c r="I19" s="275"/>
      <c r="J19" s="275"/>
      <c r="K19" s="275"/>
      <c r="L19" s="275"/>
      <c r="M19" s="275"/>
      <c r="N19" s="275">
        <f>+C19/100*1</f>
        <v>0.01</v>
      </c>
      <c r="O19" s="360">
        <f>+C19/100*2</f>
        <v>0.02</v>
      </c>
    </row>
    <row r="20" spans="1:15" ht="24.75" customHeight="1">
      <c r="A20" s="278">
        <v>17</v>
      </c>
      <c r="B20" s="227" t="s">
        <v>224</v>
      </c>
      <c r="C20" s="254">
        <v>1</v>
      </c>
      <c r="D20" s="333">
        <f>+C20/100*1.3</f>
        <v>0.013000000000000001</v>
      </c>
      <c r="E20" s="272">
        <f>+C20/100*5</f>
        <v>0.05</v>
      </c>
      <c r="F20" s="279"/>
      <c r="G20" s="280"/>
      <c r="H20" s="281"/>
      <c r="I20" s="281"/>
      <c r="J20" s="281"/>
      <c r="K20" s="275">
        <f>+((C20/100*1.66)*50)/1.25</f>
        <v>0.6639999999999999</v>
      </c>
      <c r="L20" s="281"/>
      <c r="M20" s="281"/>
      <c r="N20" s="281"/>
      <c r="O20" s="281"/>
    </row>
    <row r="21" spans="1:15" ht="24.75" customHeight="1">
      <c r="A21" s="278">
        <v>18</v>
      </c>
      <c r="B21" s="227" t="s">
        <v>225</v>
      </c>
      <c r="C21" s="254">
        <v>1</v>
      </c>
      <c r="D21" s="282"/>
      <c r="E21" s="283"/>
      <c r="F21" s="279"/>
      <c r="G21" s="280"/>
      <c r="H21" s="281"/>
      <c r="I21" s="281"/>
      <c r="J21" s="281"/>
      <c r="K21" s="281"/>
      <c r="L21" s="281"/>
      <c r="M21" s="281"/>
      <c r="N21" s="281"/>
      <c r="O21" s="281"/>
    </row>
    <row r="22" spans="1:15" ht="24.75" customHeight="1">
      <c r="A22" s="281">
        <v>20</v>
      </c>
      <c r="B22" s="281"/>
      <c r="C22" s="281"/>
      <c r="D22" s="282"/>
      <c r="E22" s="283"/>
      <c r="F22" s="279"/>
      <c r="G22" s="280"/>
      <c r="H22" s="281"/>
      <c r="I22" s="281"/>
      <c r="J22" s="281"/>
      <c r="K22" s="281"/>
      <c r="L22" s="281"/>
      <c r="M22" s="281"/>
      <c r="N22" s="281"/>
      <c r="O22" s="281"/>
    </row>
    <row r="23" spans="1:15" ht="24.75" customHeight="1">
      <c r="A23" s="281"/>
      <c r="B23" s="281"/>
      <c r="C23" s="281"/>
      <c r="D23" s="282"/>
      <c r="E23" s="283"/>
      <c r="F23" s="279"/>
      <c r="G23" s="280"/>
      <c r="H23" s="281"/>
      <c r="I23" s="281"/>
      <c r="J23" s="281"/>
      <c r="K23" s="281"/>
      <c r="L23" s="281"/>
      <c r="M23" s="281"/>
      <c r="N23" s="281"/>
      <c r="O23" s="281"/>
    </row>
    <row r="24" spans="1:15" ht="24.75" customHeight="1">
      <c r="A24" s="281"/>
      <c r="B24" s="281"/>
      <c r="C24" s="281"/>
      <c r="D24" s="282"/>
      <c r="E24" s="283"/>
      <c r="F24" s="279"/>
      <c r="G24" s="280"/>
      <c r="H24" s="281"/>
      <c r="I24" s="281"/>
      <c r="J24" s="281"/>
      <c r="K24" s="281"/>
      <c r="L24" s="281"/>
      <c r="M24" s="281"/>
      <c r="N24" s="281"/>
      <c r="O24" s="281"/>
    </row>
  </sheetData>
  <mergeCells count="1">
    <mergeCell ref="A1:H1"/>
  </mergeCells>
  <printOptions horizontalCentered="1"/>
  <pageMargins left="0.75" right="0.75" top="1" bottom="1" header="0.5" footer="0.5"/>
  <pageSetup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Engr.Naveed</dc:creator>
  <cp:keywords/>
  <dc:description/>
  <cp:lastModifiedBy>Naveed</cp:lastModifiedBy>
  <cp:lastPrinted>2006-08-01T06:30:46Z</cp:lastPrinted>
  <dcterms:created xsi:type="dcterms:W3CDTF">2005-02-18T12:50:32Z</dcterms:created>
  <dcterms:modified xsi:type="dcterms:W3CDTF">2006-10-03T07:22:48Z</dcterms:modified>
  <cp:category/>
  <cp:version/>
  <cp:contentType/>
  <cp:contentStatus/>
</cp:coreProperties>
</file>