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8" activeTab="0"/>
  </bookViews>
  <sheets>
    <sheet name="DATA sheet" sheetId="1" r:id="rId1"/>
    <sheet name="Design" sheetId="2" r:id="rId2"/>
    <sheet name="Drawing" sheetId="3" r:id="rId3"/>
    <sheet name="IS- Table" sheetId="4" r:id="rId4"/>
  </sheets>
  <definedNames>
    <definedName name="_xlnm.Print_Area" localSheetId="0">'DATA sheet'!$B$2:$T$51</definedName>
    <definedName name="_xlnm.Print_Area" localSheetId="1">'Design'!$A$2:$S$176</definedName>
    <definedName name="_xlnm.Print_Area" localSheetId="2">'Drawing'!$A$30:$S$60</definedName>
  </definedNames>
  <calcPr fullCalcOnLoad="1"/>
</workbook>
</file>

<file path=xl/sharedStrings.xml><?xml version="1.0" encoding="utf-8"?>
<sst xmlns="http://schemas.openxmlformats.org/spreadsheetml/2006/main" count="931" uniqueCount="369">
  <si>
    <t>=</t>
  </si>
  <si>
    <t>x</t>
  </si>
  <si>
    <t>/</t>
  </si>
  <si>
    <t>+</t>
  </si>
  <si>
    <t>Ast  =</t>
  </si>
  <si>
    <t xml:space="preserve">using </t>
  </si>
  <si>
    <t>A</t>
  </si>
  <si>
    <t>4 x100</t>
  </si>
  <si>
    <t>Design Constants:-</t>
  </si>
  <si>
    <t xml:space="preserve">For HYSD Bars </t>
  </si>
  <si>
    <r>
      <t>s</t>
    </r>
    <r>
      <rPr>
        <sz val="12"/>
        <rFont val="Arial"/>
        <family val="2"/>
      </rPr>
      <t>st  =</t>
    </r>
  </si>
  <si>
    <t xml:space="preserve">wt. of concrete </t>
  </si>
  <si>
    <r>
      <t>s</t>
    </r>
    <r>
      <rPr>
        <sz val="12"/>
        <rFont val="Arial"/>
        <family val="2"/>
      </rPr>
      <t>cbc =</t>
    </r>
  </si>
  <si>
    <t>m</t>
  </si>
  <si>
    <r>
      <t>k</t>
    </r>
    <r>
      <rPr>
        <sz val="10"/>
        <rFont val="Arial"/>
        <family val="0"/>
      </rPr>
      <t>=</t>
    </r>
  </si>
  <si>
    <t>m*c</t>
  </si>
  <si>
    <r>
      <t>m*c+</t>
    </r>
    <r>
      <rPr>
        <sz val="12"/>
        <rFont val="Symbol"/>
        <family val="1"/>
      </rPr>
      <t>s</t>
    </r>
    <r>
      <rPr>
        <sz val="12"/>
        <rFont val="Arial"/>
        <family val="2"/>
      </rPr>
      <t>st</t>
    </r>
  </si>
  <si>
    <r>
      <t>j</t>
    </r>
    <r>
      <rPr>
        <sz val="10"/>
        <rFont val="Arial"/>
        <family val="0"/>
      </rPr>
      <t>=1-k/3</t>
    </r>
  </si>
  <si>
    <t>-</t>
  </si>
  <si>
    <r>
      <t>R</t>
    </r>
    <r>
      <rPr>
        <sz val="10"/>
        <rFont val="Arial"/>
        <family val="0"/>
      </rPr>
      <t>=1/2xc x j x k</t>
    </r>
  </si>
  <si>
    <t>mm</t>
  </si>
  <si>
    <t>mtr</t>
  </si>
  <si>
    <t>M</t>
  </si>
  <si>
    <r>
      <t>N/mm</t>
    </r>
    <r>
      <rPr>
        <vertAlign val="superscript"/>
        <sz val="10"/>
        <rFont val="Arial"/>
        <family val="2"/>
      </rPr>
      <t>2</t>
    </r>
  </si>
  <si>
    <r>
      <t>N/mm</t>
    </r>
    <r>
      <rPr>
        <vertAlign val="superscript"/>
        <sz val="10"/>
        <rFont val="Arial"/>
        <family val="2"/>
      </rPr>
      <t>3</t>
    </r>
  </si>
  <si>
    <t>Cocrete M</t>
  </si>
  <si>
    <t>N-mm</t>
  </si>
  <si>
    <t>D</t>
  </si>
  <si>
    <t>x(</t>
  </si>
  <si>
    <t>bd</t>
  </si>
  <si>
    <t>VALUES  OF  DESIGN  CONSTANTS</t>
  </si>
  <si>
    <r>
      <t xml:space="preserve">Permissible Bond  stress Table </t>
    </r>
    <r>
      <rPr>
        <b/>
        <sz val="11"/>
        <rFont val="Symbol"/>
        <family val="1"/>
      </rPr>
      <t>t</t>
    </r>
    <r>
      <rPr>
        <b/>
        <vertAlign val="subscript"/>
        <sz val="11"/>
        <rFont val="Arial"/>
        <family val="2"/>
      </rPr>
      <t>bd</t>
    </r>
    <r>
      <rPr>
        <b/>
        <sz val="11"/>
        <rFont val="Arial"/>
        <family val="2"/>
      </rPr>
      <t xml:space="preserve"> </t>
    </r>
    <r>
      <rPr>
        <b/>
        <sz val="11"/>
        <rFont val="Arial"/>
        <family val="0"/>
      </rPr>
      <t>in concrete (IS : 456-2000)</t>
    </r>
  </si>
  <si>
    <t>Grade of concrete</t>
  </si>
  <si>
    <t>M-15</t>
  </si>
  <si>
    <t>M-20</t>
  </si>
  <si>
    <t>M-25</t>
  </si>
  <si>
    <t>M-30</t>
  </si>
  <si>
    <t>M-35</t>
  </si>
  <si>
    <t>M-40</t>
  </si>
  <si>
    <t>M-10</t>
  </si>
  <si>
    <t>M-45</t>
  </si>
  <si>
    <t>M-50</t>
  </si>
  <si>
    <t>Modular Ratio</t>
  </si>
  <si>
    <r>
      <t>t</t>
    </r>
    <r>
      <rPr>
        <vertAlign val="subscript"/>
        <sz val="10"/>
        <rFont val="Arial"/>
        <family val="2"/>
      </rPr>
      <t xml:space="preserve">bd   </t>
    </r>
    <r>
      <rPr>
        <sz val="10"/>
        <rFont val="Arial"/>
        <family val="2"/>
      </rPr>
      <t>(N /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</si>
  <si>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--</t>
  </si>
  <si>
    <r>
      <t>s</t>
    </r>
    <r>
      <rPr>
        <vertAlign val="subscript"/>
        <sz val="10"/>
        <rFont val="Arial"/>
        <family val="2"/>
      </rPr>
      <t xml:space="preserve">cbc  </t>
    </r>
    <r>
      <rPr>
        <sz val="10"/>
        <rFont val="Arial"/>
        <family val="2"/>
      </rPr>
      <t>N/mm</t>
    </r>
    <r>
      <rPr>
        <vertAlign val="superscript"/>
        <sz val="10"/>
        <rFont val="Arial"/>
        <family val="2"/>
      </rPr>
      <t>2</t>
    </r>
  </si>
  <si>
    <r>
      <t xml:space="preserve">m </t>
    </r>
    <r>
      <rPr>
        <sz val="12"/>
        <rFont val="Symbol"/>
        <family val="1"/>
      </rPr>
      <t>s</t>
    </r>
    <r>
      <rPr>
        <vertAlign val="subscript"/>
        <sz val="10"/>
        <rFont val="Arial"/>
        <family val="2"/>
      </rPr>
      <t>cbc</t>
    </r>
  </si>
  <si>
    <r>
      <t xml:space="preserve">(a)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st</t>
    </r>
    <r>
      <rPr>
        <sz val="10"/>
        <rFont val="Arial"/>
        <family val="0"/>
      </rPr>
      <t xml:space="preserve"> = 140 N/mm2 (Fe 250)</t>
    </r>
  </si>
  <si>
    <r>
      <t>k</t>
    </r>
    <r>
      <rPr>
        <vertAlign val="subscript"/>
        <sz val="10"/>
        <rFont val="Arial"/>
        <family val="0"/>
      </rPr>
      <t>c</t>
    </r>
  </si>
  <si>
    <t>Development   Length  in tension</t>
  </si>
  <si>
    <r>
      <t>j</t>
    </r>
    <r>
      <rPr>
        <vertAlign val="subscript"/>
        <sz val="10"/>
        <rFont val="Arial"/>
        <family val="0"/>
      </rPr>
      <t>c</t>
    </r>
  </si>
  <si>
    <r>
      <t>R</t>
    </r>
    <r>
      <rPr>
        <vertAlign val="subscript"/>
        <sz val="10"/>
        <rFont val="Arial"/>
        <family val="0"/>
      </rPr>
      <t>c</t>
    </r>
  </si>
  <si>
    <t>Plain M.S. Bars</t>
  </si>
  <si>
    <t>H.Y.S.D. Bars</t>
  </si>
  <si>
    <r>
      <t>P</t>
    </r>
    <r>
      <rPr>
        <vertAlign val="subscript"/>
        <sz val="10"/>
        <rFont val="Arial"/>
        <family val="0"/>
      </rPr>
      <t>c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(%)</t>
    </r>
  </si>
  <si>
    <r>
      <t>t</t>
    </r>
    <r>
      <rPr>
        <vertAlign val="subscript"/>
        <sz val="10"/>
        <rFont val="Arial"/>
        <family val="2"/>
      </rPr>
      <t>bd</t>
    </r>
    <r>
      <rPr>
        <sz val="10"/>
        <rFont val="Arial"/>
        <family val="0"/>
      </rPr>
      <t xml:space="preserve">   (N / mm2)</t>
    </r>
  </si>
  <si>
    <r>
      <t>k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 L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</t>
    </r>
    <r>
      <rPr>
        <sz val="10"/>
        <rFont val="Symbol"/>
        <family val="1"/>
      </rPr>
      <t>F</t>
    </r>
  </si>
  <si>
    <r>
      <t xml:space="preserve">(b)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st</t>
    </r>
    <r>
      <rPr>
        <sz val="10"/>
        <rFont val="Arial"/>
        <family val="0"/>
      </rPr>
      <t xml:space="preserve"> = 190 N/mm2 </t>
    </r>
  </si>
  <si>
    <t>M 15</t>
  </si>
  <si>
    <t>M 20</t>
  </si>
  <si>
    <t>M 25</t>
  </si>
  <si>
    <t>M 30</t>
  </si>
  <si>
    <r>
      <t xml:space="preserve">(c )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st</t>
    </r>
    <r>
      <rPr>
        <sz val="10"/>
        <rFont val="Arial"/>
        <family val="0"/>
      </rPr>
      <t xml:space="preserve"> = 230 N/mm2 (Fe 415)</t>
    </r>
  </si>
  <si>
    <t xml:space="preserve"> M 35</t>
  </si>
  <si>
    <t>M 40</t>
  </si>
  <si>
    <t>M 45</t>
  </si>
  <si>
    <t>M 50</t>
  </si>
  <si>
    <r>
      <t xml:space="preserve">(d)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st</t>
    </r>
    <r>
      <rPr>
        <sz val="10"/>
        <rFont val="Arial"/>
        <family val="0"/>
      </rPr>
      <t xml:space="preserve"> = 275 N/mm2  (Fe 500)</t>
    </r>
  </si>
  <si>
    <r>
      <t xml:space="preserve">Permissible shear stress Table </t>
    </r>
    <r>
      <rPr>
        <b/>
        <sz val="11"/>
        <rFont val="Symbol"/>
        <family val="1"/>
      </rPr>
      <t>t</t>
    </r>
    <r>
      <rPr>
        <b/>
        <vertAlign val="subscript"/>
        <sz val="11"/>
        <rFont val="Arial"/>
        <family val="2"/>
      </rPr>
      <t>v</t>
    </r>
    <r>
      <rPr>
        <b/>
        <sz val="11"/>
        <rFont val="Arial"/>
        <family val="2"/>
      </rPr>
      <t xml:space="preserve"> </t>
    </r>
    <r>
      <rPr>
        <b/>
        <sz val="11"/>
        <rFont val="Arial"/>
        <family val="0"/>
      </rPr>
      <t>in concrete (IS : 456-2000)</t>
    </r>
  </si>
  <si>
    <r>
      <t>100A</t>
    </r>
    <r>
      <rPr>
        <u val="single"/>
        <vertAlign val="subscript"/>
        <sz val="10"/>
        <rFont val="Arial"/>
        <family val="0"/>
      </rPr>
      <t>s</t>
    </r>
  </si>
  <si>
    <r>
      <t xml:space="preserve">Permissible shear stress 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in concrete  tv  N/mm</t>
    </r>
    <r>
      <rPr>
        <vertAlign val="superscript"/>
        <sz val="10"/>
        <rFont val="Arial"/>
        <family val="2"/>
      </rPr>
      <t>2</t>
    </r>
  </si>
  <si>
    <r>
      <t>&lt;</t>
    </r>
    <r>
      <rPr>
        <sz val="10"/>
        <rFont val="Arial"/>
        <family val="2"/>
      </rPr>
      <t xml:space="preserve">  0.15</t>
    </r>
  </si>
  <si>
    <t>3.00 and above</t>
  </si>
  <si>
    <r>
      <t xml:space="preserve">Maximum shear stress </t>
    </r>
    <r>
      <rPr>
        <sz val="11"/>
        <rFont val="Arial"/>
        <family val="0"/>
      </rPr>
      <t xml:space="preserve"> </t>
    </r>
    <r>
      <rPr>
        <sz val="11"/>
        <rFont val="Symbol"/>
        <family val="1"/>
      </rPr>
      <t>t</t>
    </r>
    <r>
      <rPr>
        <vertAlign val="subscript"/>
        <sz val="11"/>
        <rFont val="Arial"/>
        <family val="2"/>
      </rPr>
      <t>c.m</t>
    </r>
    <r>
      <rPr>
        <b/>
        <vertAlign val="subscript"/>
        <sz val="11"/>
        <rFont val="Arial"/>
        <family val="2"/>
      </rPr>
      <t xml:space="preserve">ax </t>
    </r>
    <r>
      <rPr>
        <b/>
        <sz val="11"/>
        <rFont val="Arial"/>
        <family val="2"/>
      </rPr>
      <t xml:space="preserve"> </t>
    </r>
    <r>
      <rPr>
        <b/>
        <sz val="11"/>
        <rFont val="Arial"/>
        <family val="0"/>
      </rPr>
      <t>in concrete (IS : 456-2000)</t>
    </r>
  </si>
  <si>
    <r>
      <t>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.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</t>
    </r>
  </si>
  <si>
    <t>Ö</t>
  </si>
  <si>
    <t xml:space="preserve">Reinforcement </t>
  </si>
  <si>
    <t>Strirrups</t>
  </si>
  <si>
    <t xml:space="preserve">Nominal cover </t>
  </si>
  <si>
    <t xml:space="preserve">Effective cover </t>
  </si>
  <si>
    <t>Nos.</t>
  </si>
  <si>
    <r>
      <t xml:space="preserve">Permissible  stress </t>
    </r>
    <r>
      <rPr>
        <b/>
        <sz val="11"/>
        <rFont val="Arial"/>
        <family val="2"/>
      </rPr>
      <t xml:space="preserve"> </t>
    </r>
    <r>
      <rPr>
        <b/>
        <sz val="11"/>
        <rFont val="Arial"/>
        <family val="0"/>
      </rPr>
      <t>in concrete (IS : 456-2000)</t>
    </r>
  </si>
  <si>
    <r>
      <t>Permission stress in compression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</si>
  <si>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Permissible stress in bond (Average) for plain bars in tention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</si>
  <si>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 xml:space="preserve">Bending </t>
    </r>
    <r>
      <rPr>
        <sz val="8"/>
        <rFont val="Symbol"/>
        <family val="1"/>
      </rPr>
      <t>a</t>
    </r>
    <r>
      <rPr>
        <vertAlign val="subscript"/>
        <sz val="8"/>
        <rFont val="Arial"/>
        <family val="2"/>
      </rPr>
      <t>cbc</t>
    </r>
  </si>
  <si>
    <r>
      <t>Direct (</t>
    </r>
    <r>
      <rPr>
        <sz val="11"/>
        <rFont val="Symbol"/>
        <family val="1"/>
      </rPr>
      <t>a</t>
    </r>
    <r>
      <rPr>
        <vertAlign val="subscript"/>
        <sz val="10"/>
        <rFont val="Arial"/>
        <family val="2"/>
      </rPr>
      <t>cc</t>
    </r>
    <r>
      <rPr>
        <sz val="10"/>
        <rFont val="Arial"/>
        <family val="0"/>
      </rPr>
      <t>)</t>
    </r>
  </si>
  <si>
    <t>(N/mm2)</t>
  </si>
  <si>
    <r>
      <t>Kg/m</t>
    </r>
    <r>
      <rPr>
        <vertAlign val="superscript"/>
        <sz val="10"/>
        <rFont val="Arial"/>
        <family val="2"/>
      </rPr>
      <t>2</t>
    </r>
  </si>
  <si>
    <r>
      <t>in kg/m</t>
    </r>
    <r>
      <rPr>
        <vertAlign val="superscript"/>
        <sz val="10"/>
        <rFont val="Arial"/>
        <family val="2"/>
      </rPr>
      <t>2</t>
    </r>
  </si>
  <si>
    <t>M  10</t>
  </si>
  <si>
    <t>M  15</t>
  </si>
  <si>
    <t>M  20</t>
  </si>
  <si>
    <t>M  25</t>
  </si>
  <si>
    <t>M  30</t>
  </si>
  <si>
    <t>M  35</t>
  </si>
  <si>
    <t>M  40</t>
  </si>
  <si>
    <t>M  45</t>
  </si>
  <si>
    <t>M  50</t>
  </si>
  <si>
    <t>Risers</t>
  </si>
  <si>
    <t>Treads</t>
  </si>
  <si>
    <t>T</t>
  </si>
  <si>
    <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+T</t>
    </r>
    <r>
      <rPr>
        <vertAlign val="superscript"/>
        <sz val="10"/>
        <rFont val="Arial"/>
        <family val="2"/>
      </rPr>
      <t>2</t>
    </r>
  </si>
  <si>
    <r>
      <t xml:space="preserve">= </t>
    </r>
    <r>
      <rPr>
        <sz val="10"/>
        <rFont val="Symbol"/>
        <family val="1"/>
      </rPr>
      <t>Ö</t>
    </r>
  </si>
  <si>
    <r>
      <t>2</t>
    </r>
    <r>
      <rPr>
        <sz val="10"/>
        <rFont val="Arial"/>
        <family val="0"/>
      </rPr>
      <t>+</t>
    </r>
  </si>
  <si>
    <r>
      <t>2</t>
    </r>
    <r>
      <rPr>
        <sz val="10"/>
        <rFont val="Arial"/>
        <family val="0"/>
      </rPr>
      <t>=</t>
    </r>
  </si>
  <si>
    <t xml:space="preserve">Laoding of finishing </t>
  </si>
  <si>
    <t>L.S.</t>
  </si>
  <si>
    <t>Total</t>
  </si>
  <si>
    <t>N-m</t>
  </si>
  <si>
    <t>Rxb</t>
  </si>
  <si>
    <t>But available=</t>
  </si>
  <si>
    <t>M-</t>
  </si>
  <si>
    <t>fy-</t>
  </si>
  <si>
    <t>DESIGN  OF  STAIR  CASE WITH CENTRAL STRINGER BEAM</t>
  </si>
  <si>
    <t>Base on B.C.Punmia book RCCdesign exmpale 8.5</t>
  </si>
  <si>
    <t>B</t>
  </si>
  <si>
    <t>C</t>
  </si>
  <si>
    <t xml:space="preserve"> x</t>
  </si>
  <si>
    <t xml:space="preserve">The  weight of waist slab on the slope should be multi plied by the factor </t>
  </si>
  <si>
    <t>where R=</t>
  </si>
  <si>
    <t>mm and</t>
  </si>
  <si>
    <t>to get the equivalent weight of horizontal plane .</t>
  </si>
  <si>
    <t xml:space="preserve"> Considered 1 m width of slab.</t>
  </si>
  <si>
    <t>Load per metre horizontal run will be as follows.</t>
  </si>
  <si>
    <t xml:space="preserve">Self weight </t>
  </si>
  <si>
    <t>Weight of steps</t>
  </si>
  <si>
    <t xml:space="preserve">Live load </t>
  </si>
  <si>
    <t xml:space="preserve">live load </t>
  </si>
  <si>
    <r>
      <t>N/m</t>
    </r>
    <r>
      <rPr>
        <b/>
        <vertAlign val="superscript"/>
        <sz val="10"/>
        <rFont val="Arial"/>
        <family val="2"/>
      </rPr>
      <t>2</t>
    </r>
  </si>
  <si>
    <t>N</t>
  </si>
  <si>
    <t>The loading on landing will be lasser : however , for simplicity , we will take the same loading throught.</t>
  </si>
  <si>
    <t>Loading on waist slab:-</t>
  </si>
  <si>
    <t>Design of waist slab:-</t>
  </si>
  <si>
    <t xml:space="preserve">                    the waist slab is supported on central stringer beam . Hence the worst condition may be </t>
  </si>
  <si>
    <t xml:space="preserve">when we considred concentrated live load of </t>
  </si>
  <si>
    <t xml:space="preserve">N to act to one side only. </t>
  </si>
  <si>
    <t xml:space="preserve">Dead weight </t>
  </si>
  <si>
    <t>Projection of slab beyond the rib of beam</t>
  </si>
  <si>
    <t>B.M. due to dead load</t>
  </si>
  <si>
    <t>B.M. due to U.D. live  load</t>
  </si>
  <si>
    <t>B.M. due to concentreted  live  load</t>
  </si>
  <si>
    <t>BM</t>
  </si>
  <si>
    <t xml:space="preserve">Effective depth required </t>
  </si>
  <si>
    <t>Max. B.M.            M</t>
  </si>
  <si>
    <t xml:space="preserve">mm . Efective depth </t>
  </si>
  <si>
    <t xml:space="preserve">However ,  keep minimum total depth </t>
  </si>
  <si>
    <t xml:space="preserve">However , keep spacing </t>
  </si>
  <si>
    <t>mm , one bar per step</t>
  </si>
  <si>
    <t>A*1000/Ast</t>
  </si>
  <si>
    <t>spacing  of Bars   =</t>
  </si>
  <si>
    <t xml:space="preserve">Distribution reinforcement </t>
  </si>
  <si>
    <t>mm, Maximum</t>
  </si>
  <si>
    <t>mm say</t>
  </si>
  <si>
    <t>Design of stringer beam :-</t>
  </si>
  <si>
    <r>
      <t>wL</t>
    </r>
    <r>
      <rPr>
        <vertAlign val="superscript"/>
        <sz val="10"/>
        <rFont val="Arial"/>
        <family val="2"/>
      </rPr>
      <t>2</t>
    </r>
  </si>
  <si>
    <r>
      <t>)</t>
    </r>
    <r>
      <rPr>
        <vertAlign val="superscript"/>
        <sz val="10"/>
        <rFont val="Arial"/>
        <family val="2"/>
      </rPr>
      <t>2</t>
    </r>
  </si>
  <si>
    <r>
      <t>mm</t>
    </r>
    <r>
      <rPr>
        <vertAlign val="superscript"/>
        <sz val="10"/>
        <rFont val="Arial"/>
        <family val="2"/>
      </rPr>
      <t>2</t>
    </r>
  </si>
  <si>
    <r>
      <t>s</t>
    </r>
    <r>
      <rPr>
        <sz val="9"/>
        <rFont val="Arial"/>
        <family val="0"/>
      </rPr>
      <t>st x j x D</t>
    </r>
  </si>
  <si>
    <r>
      <t>mm</t>
    </r>
    <r>
      <rPr>
        <sz val="10"/>
        <rFont val="Symbol"/>
        <family val="1"/>
      </rPr>
      <t xml:space="preserve"> F</t>
    </r>
    <r>
      <rPr>
        <sz val="10"/>
        <rFont val="Arial"/>
        <family val="0"/>
      </rPr>
      <t xml:space="preserve"> bars </t>
    </r>
  </si>
  <si>
    <r>
      <t>3.14xdia</t>
    </r>
    <r>
      <rPr>
        <vertAlign val="superscript"/>
        <sz val="10"/>
        <rFont val="Arial"/>
        <family val="2"/>
      </rPr>
      <t>2</t>
    </r>
  </si>
  <si>
    <r>
      <t>mm</t>
    </r>
    <r>
      <rPr>
        <vertAlign val="superscript"/>
        <sz val="8"/>
        <rFont val="Arial"/>
        <family val="0"/>
      </rPr>
      <t>2</t>
    </r>
  </si>
  <si>
    <t xml:space="preserve">Effective span </t>
  </si>
  <si>
    <t xml:space="preserve">mm wide and </t>
  </si>
  <si>
    <t>mm deep</t>
  </si>
  <si>
    <t>The loading on stringer beam will be as follows,</t>
  </si>
  <si>
    <t xml:space="preserve"> asssuming the web to be </t>
  </si>
  <si>
    <t>(a) Weight of rib /m run</t>
  </si>
  <si>
    <t>(b) Load from waist slab</t>
  </si>
  <si>
    <t xml:space="preserve">N say </t>
  </si>
  <si>
    <t>N/m</t>
  </si>
  <si>
    <t xml:space="preserve">Assuming partial fixidity at ends, </t>
  </si>
  <si>
    <t xml:space="preserve">Taking lever arm </t>
  </si>
  <si>
    <t>0.9 x d</t>
  </si>
  <si>
    <t>, balance depth is given by Eq.</t>
  </si>
  <si>
    <t>b</t>
  </si>
  <si>
    <t>m ;b = actual width =</t>
  </si>
  <si>
    <t>where lo = L=</t>
  </si>
  <si>
    <t xml:space="preserve">Hence, </t>
  </si>
  <si>
    <t>2x</t>
  </si>
  <si>
    <t>d</t>
  </si>
  <si>
    <t>d-</t>
  </si>
  <si>
    <r>
      <t xml:space="preserve">The stringer beam will act as T- beam. Flight </t>
    </r>
    <r>
      <rPr>
        <i/>
        <sz val="10"/>
        <rFont val="Arial"/>
        <family val="2"/>
      </rPr>
      <t>CD</t>
    </r>
    <r>
      <rPr>
        <sz val="10"/>
        <rFont val="Arial"/>
        <family val="0"/>
      </rPr>
      <t xml:space="preserve"> is longest, </t>
    </r>
  </si>
  <si>
    <r>
      <t>Hence we will design the stringer beam</t>
    </r>
    <r>
      <rPr>
        <i/>
        <sz val="10"/>
        <rFont val="Arial"/>
        <family val="2"/>
      </rPr>
      <t xml:space="preserve"> CD</t>
    </r>
  </si>
  <si>
    <r>
      <t xml:space="preserve">2  </t>
    </r>
    <r>
      <rPr>
        <sz val="10"/>
        <rFont val="Arial"/>
        <family val="0"/>
      </rPr>
      <t>x</t>
    </r>
  </si>
  <si>
    <r>
      <t>10</t>
    </r>
    <r>
      <rPr>
        <vertAlign val="superscript"/>
        <sz val="10"/>
        <rFont val="Arial"/>
        <family val="2"/>
      </rPr>
      <t xml:space="preserve"> 6</t>
    </r>
  </si>
  <si>
    <r>
      <t>0.45 b</t>
    </r>
    <r>
      <rPr>
        <vertAlign val="subscript"/>
        <sz val="10"/>
        <rFont val="Arial"/>
        <family val="2"/>
      </rPr>
      <t xml:space="preserve">f.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cbc.</t>
    </r>
    <r>
      <rPr>
        <sz val="10"/>
        <rFont val="Arial"/>
        <family val="0"/>
      </rPr>
      <t xml:space="preserve"> D</t>
    </r>
    <r>
      <rPr>
        <vertAlign val="subscript"/>
        <sz val="10"/>
        <rFont val="Arial"/>
        <family val="2"/>
      </rPr>
      <t>f</t>
    </r>
  </si>
  <si>
    <r>
      <t>2k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d - D</t>
    </r>
  </si>
  <si>
    <r>
      <t>where b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0"/>
      </rPr>
      <t>= flange width of isolated T-Beam given byEq.</t>
    </r>
  </si>
  <si>
    <r>
      <t>k</t>
    </r>
    <r>
      <rPr>
        <vertAlign val="subscript"/>
        <sz val="10"/>
        <rFont val="Arial"/>
        <family val="2"/>
      </rPr>
      <t>c</t>
    </r>
  </si>
  <si>
    <r>
      <t>b</t>
    </r>
    <r>
      <rPr>
        <vertAlign val="subscript"/>
        <sz val="10"/>
        <rFont val="Arial"/>
        <family val="2"/>
      </rPr>
      <t>f</t>
    </r>
  </si>
  <si>
    <r>
      <t>l</t>
    </r>
    <r>
      <rPr>
        <vertAlign val="subscript"/>
        <sz val="10"/>
        <rFont val="Arial"/>
        <family val="2"/>
      </rPr>
      <t>0</t>
    </r>
  </si>
  <si>
    <r>
      <t>b</t>
    </r>
    <r>
      <rPr>
        <vertAlign val="subscript"/>
        <sz val="10"/>
        <rFont val="Arial"/>
        <family val="2"/>
      </rPr>
      <t>w,</t>
    </r>
  </si>
  <si>
    <r>
      <t>and  b</t>
    </r>
    <r>
      <rPr>
        <vertAlign val="subscript"/>
        <sz val="10"/>
        <rFont val="Arial"/>
        <family val="2"/>
      </rPr>
      <t xml:space="preserve">w </t>
    </r>
  </si>
  <si>
    <t>2d</t>
  </si>
  <si>
    <t>\</t>
  </si>
  <si>
    <t>BM x 1000</t>
  </si>
  <si>
    <t>Also,     d</t>
  </si>
  <si>
    <t>Ve</t>
  </si>
  <si>
    <t>V+ 1.6</t>
  </si>
  <si>
    <t>wL</t>
  </si>
  <si>
    <t>T = torsional moment, which will be induced due to live load acting only to one side of step.</t>
  </si>
  <si>
    <t xml:space="preserve">or    T </t>
  </si>
  <si>
    <t>)x</t>
  </si>
  <si>
    <t>=(</t>
  </si>
  <si>
    <t>which ever is more</t>
  </si>
  <si>
    <t>\               T</t>
  </si>
  <si>
    <t>Where   V</t>
  </si>
  <si>
    <t xml:space="preserve">Hence,     d </t>
  </si>
  <si>
    <t>mm main bars,</t>
  </si>
  <si>
    <t xml:space="preserve">mm </t>
  </si>
  <si>
    <t>Net available d</t>
  </si>
  <si>
    <t xml:space="preserve">However,  keep total depth </t>
  </si>
  <si>
    <t>using</t>
  </si>
  <si>
    <t>Nos.  Say</t>
  </si>
  <si>
    <r>
      <t>A</t>
    </r>
    <r>
      <rPr>
        <vertAlign val="subscript"/>
        <sz val="10"/>
        <rFont val="Arial"/>
        <family val="2"/>
      </rPr>
      <t xml:space="preserve">st  </t>
    </r>
    <r>
      <rPr>
        <sz val="10"/>
        <rFont val="Arial"/>
        <family val="0"/>
      </rPr>
      <t>=</t>
    </r>
  </si>
  <si>
    <r>
      <t>A</t>
    </r>
    <r>
      <rPr>
        <vertAlign val="subscript"/>
        <sz val="10"/>
        <rFont val="Arial"/>
        <family val="2"/>
      </rPr>
      <t>st</t>
    </r>
    <r>
      <rPr>
        <sz val="10"/>
        <rFont val="Arial"/>
        <family val="0"/>
      </rPr>
      <t>/A</t>
    </r>
  </si>
  <si>
    <r>
      <t>V</t>
    </r>
    <r>
      <rPr>
        <vertAlign val="subscript"/>
        <sz val="10"/>
        <rFont val="Arial"/>
        <family val="2"/>
      </rPr>
      <t>e</t>
    </r>
  </si>
  <si>
    <r>
      <t>where t</t>
    </r>
    <r>
      <rPr>
        <vertAlign val="subscript"/>
        <sz val="10"/>
        <rFont val="Arial"/>
        <family val="2"/>
      </rPr>
      <t>c max</t>
    </r>
    <r>
      <rPr>
        <sz val="10"/>
        <rFont val="Arial"/>
        <family val="0"/>
      </rPr>
      <t xml:space="preserve"> =1.8 N/mm2 for m-20 concrete </t>
    </r>
  </si>
  <si>
    <r>
      <t>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. T</t>
    </r>
    <r>
      <rPr>
        <vertAlign val="subscript"/>
        <sz val="10"/>
        <rFont val="Arial"/>
        <family val="2"/>
      </rPr>
      <t>c max</t>
    </r>
  </si>
  <si>
    <r>
      <t>b</t>
    </r>
    <r>
      <rPr>
        <vertAlign val="subscript"/>
        <sz val="10"/>
        <rFont val="Arial"/>
        <family val="2"/>
      </rPr>
      <t>w</t>
    </r>
  </si>
  <si>
    <r>
      <t xml:space="preserve">2  </t>
    </r>
    <r>
      <rPr>
        <sz val="10"/>
        <rFont val="Arial"/>
        <family val="2"/>
      </rPr>
      <t>x</t>
    </r>
  </si>
  <si>
    <r>
      <t>mm</t>
    </r>
    <r>
      <rPr>
        <sz val="9"/>
        <rFont val="Symbol"/>
        <family val="1"/>
      </rPr>
      <t xml:space="preserve"> F</t>
    </r>
    <r>
      <rPr>
        <sz val="9"/>
        <rFont val="Arial"/>
        <family val="0"/>
      </rPr>
      <t xml:space="preserve"> ring and cover</t>
    </r>
  </si>
  <si>
    <t>Location of N.A.  Assuming the N.A. falls within the flange, we have</t>
  </si>
  <si>
    <t>n</t>
  </si>
  <si>
    <t>)</t>
  </si>
  <si>
    <t xml:space="preserve">n </t>
  </si>
  <si>
    <t xml:space="preserve">x </t>
  </si>
  <si>
    <t xml:space="preserve">           Note:- the above reinforcement is for bending requirements only. there will be additional longitudinal reinforcement for torsion, as computed later.</t>
  </si>
  <si>
    <r>
      <t>Actual A</t>
    </r>
    <r>
      <rPr>
        <vertAlign val="subscript"/>
        <sz val="10"/>
        <rFont val="Arial"/>
        <family val="2"/>
      </rPr>
      <t>st</t>
    </r>
    <r>
      <rPr>
        <sz val="10"/>
        <rFont val="Arial"/>
        <family val="0"/>
      </rPr>
      <t xml:space="preserve"> provided</t>
    </r>
  </si>
  <si>
    <r>
      <t>n</t>
    </r>
    <r>
      <rPr>
        <vertAlign val="superscript"/>
        <sz val="10"/>
        <rFont val="Arial"/>
        <family val="2"/>
      </rPr>
      <t>2</t>
    </r>
  </si>
  <si>
    <t>2*1</t>
  </si>
  <si>
    <t>- (</t>
  </si>
  <si>
    <r>
      <t>)</t>
    </r>
    <r>
      <rPr>
        <vertAlign val="superscript"/>
        <sz val="10"/>
        <rFont val="Arial"/>
        <family val="2"/>
      </rPr>
      <t>0.5</t>
    </r>
  </si>
  <si>
    <t>N=</t>
  </si>
  <si>
    <t>2*a</t>
  </si>
  <si>
    <t>b=</t>
  </si>
  <si>
    <r>
      <t xml:space="preserve">-b </t>
    </r>
    <r>
      <rPr>
        <u val="single"/>
        <sz val="10"/>
        <rFont val="Arial"/>
        <family val="2"/>
      </rPr>
      <t>+</t>
    </r>
    <r>
      <rPr>
        <sz val="10"/>
        <rFont val="Arial"/>
        <family val="0"/>
      </rPr>
      <t xml:space="preserve"> (b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-4*a*c)</t>
    </r>
    <r>
      <rPr>
        <vertAlign val="superscript"/>
        <sz val="10"/>
        <rFont val="Arial"/>
        <family val="2"/>
      </rPr>
      <t>0.5</t>
    </r>
  </si>
  <si>
    <t>L.A. a</t>
  </si>
  <si>
    <t>d - y</t>
  </si>
  <si>
    <t>Hence the resultant falls inside the flanges y</t>
  </si>
  <si>
    <t xml:space="preserve">Stress in steel </t>
  </si>
  <si>
    <t>Ast . A</t>
  </si>
  <si>
    <t>c</t>
  </si>
  <si>
    <t>t x n</t>
  </si>
  <si>
    <t>m d-n</t>
  </si>
  <si>
    <t>Corresponding stress in concrete is given by</t>
  </si>
  <si>
    <t>Design for torsion :-</t>
  </si>
  <si>
    <r>
      <t>+</t>
    </r>
    <r>
      <rPr>
        <sz val="10"/>
        <rFont val="Arial"/>
        <family val="0"/>
      </rPr>
      <t xml:space="preserve"> (</t>
    </r>
  </si>
  <si>
    <t>Modification factore</t>
  </si>
  <si>
    <t>Percentage of tension reinforcement</t>
  </si>
  <si>
    <r>
      <t>Shear stress  t</t>
    </r>
    <r>
      <rPr>
        <vertAlign val="subscript"/>
        <sz val="10"/>
        <rFont val="Arial"/>
        <family val="2"/>
      </rPr>
      <t>c</t>
    </r>
  </si>
  <si>
    <t>Reiforcement   %</t>
  </si>
  <si>
    <r>
      <t>100A</t>
    </r>
    <r>
      <rPr>
        <b/>
        <u val="single"/>
        <vertAlign val="subscript"/>
        <sz val="10"/>
        <rFont val="Arial"/>
        <family val="2"/>
      </rPr>
      <t>s</t>
    </r>
  </si>
  <si>
    <t>As computed earlier,  T=</t>
  </si>
  <si>
    <t>v</t>
  </si>
  <si>
    <t>and  ve</t>
  </si>
  <si>
    <r>
      <t>\      t</t>
    </r>
    <r>
      <rPr>
        <vertAlign val="subscript"/>
        <sz val="10"/>
        <rFont val="Arial"/>
        <family val="2"/>
      </rPr>
      <t>ve</t>
    </r>
  </si>
  <si>
    <t>bw.d</t>
  </si>
  <si>
    <r>
      <t>100 x A</t>
    </r>
    <r>
      <rPr>
        <vertAlign val="subscript"/>
        <sz val="10"/>
        <rFont val="Arial"/>
        <family val="2"/>
      </rPr>
      <t>st</t>
    </r>
  </si>
  <si>
    <t>b x d</t>
  </si>
  <si>
    <t>%</t>
  </si>
  <si>
    <t xml:space="preserve">hence from table 3.2     tc </t>
  </si>
  <si>
    <t xml:space="preserve">Since </t>
  </si>
  <si>
    <t>tc</t>
  </si>
  <si>
    <r>
      <t>t</t>
    </r>
    <r>
      <rPr>
        <vertAlign val="subscript"/>
        <sz val="10"/>
        <rFont val="Arial"/>
        <family val="2"/>
      </rPr>
      <t>ve</t>
    </r>
  </si>
  <si>
    <t>(a) Longitudinal reinforcement:-</t>
  </si>
  <si>
    <r>
      <t xml:space="preserve">M </t>
    </r>
    <r>
      <rPr>
        <vertAlign val="subscript"/>
        <sz val="10"/>
        <rFont val="Arial"/>
        <family val="2"/>
      </rPr>
      <t>e1</t>
    </r>
    <r>
      <rPr>
        <sz val="10"/>
        <rFont val="Arial"/>
        <family val="0"/>
      </rPr>
      <t xml:space="preserve"> = M + M</t>
    </r>
    <r>
      <rPr>
        <vertAlign val="subscript"/>
        <sz val="10"/>
        <rFont val="Arial"/>
        <family val="2"/>
      </rPr>
      <t>T</t>
    </r>
  </si>
  <si>
    <t>Where M=</t>
  </si>
  <si>
    <r>
      <t>M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</t>
    </r>
  </si>
  <si>
    <t>(1+ D/bw)</t>
  </si>
  <si>
    <r>
      <t xml:space="preserve">\           </t>
    </r>
    <r>
      <rPr>
        <sz val="10"/>
        <rFont val="Arial"/>
        <family val="2"/>
      </rPr>
      <t>M</t>
    </r>
    <r>
      <rPr>
        <vertAlign val="subscript"/>
        <sz val="10"/>
        <rFont val="Arial"/>
        <family val="2"/>
      </rPr>
      <t>e1</t>
    </r>
  </si>
  <si>
    <r>
      <t>M</t>
    </r>
    <r>
      <rPr>
        <vertAlign val="subscript"/>
        <sz val="9"/>
        <rFont val="Arial"/>
        <family val="2"/>
      </rPr>
      <t>e1</t>
    </r>
  </si>
  <si>
    <t xml:space="preserve">Hence the provision of </t>
  </si>
  <si>
    <t xml:space="preserve">bars of </t>
  </si>
  <si>
    <r>
      <t>mm</t>
    </r>
    <r>
      <rPr>
        <sz val="10"/>
        <rFont val="Symbol"/>
        <family val="1"/>
      </rPr>
      <t xml:space="preserve"> f</t>
    </r>
    <r>
      <rPr>
        <sz val="10"/>
        <rFont val="Arial"/>
        <family val="0"/>
      </rPr>
      <t xml:space="preserve">,           giving </t>
    </r>
  </si>
  <si>
    <r>
      <t>mm</t>
    </r>
    <r>
      <rPr>
        <vertAlign val="superscript"/>
        <sz val="10"/>
        <rFont val="Arial"/>
        <family val="2"/>
      </rPr>
      <t xml:space="preserve">2         </t>
    </r>
    <r>
      <rPr>
        <sz val="10"/>
        <rFont val="Arial"/>
        <family val="0"/>
      </rPr>
      <t xml:space="preserve">is </t>
    </r>
  </si>
  <si>
    <t>Near the column D, take the bars straight up. Provide</t>
  </si>
  <si>
    <t>2-</t>
  </si>
  <si>
    <r>
      <t xml:space="preserve">mm </t>
    </r>
    <r>
      <rPr>
        <sz val="9"/>
        <rFont val="Symbol"/>
        <family val="1"/>
      </rPr>
      <t>f</t>
    </r>
    <r>
      <rPr>
        <sz val="9"/>
        <rFont val="Arial"/>
        <family val="0"/>
      </rPr>
      <t xml:space="preserve"> bars at the lower face under the landing. </t>
    </r>
  </si>
  <si>
    <t>(b) Transverse reinforcement:-</t>
  </si>
  <si>
    <t>Transverse reinforcement will be provided in the form of vertical stirrups.</t>
  </si>
  <si>
    <t>Let provide</t>
  </si>
  <si>
    <t>mm clear cover all round</t>
  </si>
  <si>
    <t>center to center distence between corner bars in the direction of width</t>
  </si>
  <si>
    <r>
      <t>b</t>
    </r>
    <r>
      <rPr>
        <vertAlign val="subscript"/>
        <sz val="10"/>
        <rFont val="Arial"/>
        <family val="2"/>
      </rPr>
      <t>1</t>
    </r>
  </si>
  <si>
    <t>center to center distence between corner bars in the direction of depth</t>
  </si>
  <si>
    <r>
      <t>d</t>
    </r>
    <r>
      <rPr>
        <vertAlign val="subscript"/>
        <sz val="10"/>
        <rFont val="Arial"/>
        <family val="2"/>
      </rPr>
      <t>1</t>
    </r>
  </si>
  <si>
    <t>A=</t>
  </si>
  <si>
    <t>2 x</t>
  </si>
  <si>
    <r>
      <t>mm</t>
    </r>
    <r>
      <rPr>
        <sz val="10"/>
        <rFont val="Symbol"/>
        <family val="1"/>
      </rPr>
      <t xml:space="preserve"> F</t>
    </r>
    <r>
      <rPr>
        <sz val="10"/>
        <rFont val="Arial"/>
        <family val="0"/>
      </rPr>
      <t xml:space="preserve"> stirrups bars </t>
    </r>
  </si>
  <si>
    <t>now, Asv =</t>
  </si>
  <si>
    <r>
      <t>b1d1</t>
    </r>
    <r>
      <rPr>
        <sz val="10"/>
        <rFont val="Symbol"/>
        <family val="1"/>
      </rPr>
      <t>s</t>
    </r>
    <r>
      <rPr>
        <sz val="10"/>
        <rFont val="Arial"/>
        <family val="0"/>
      </rPr>
      <t>sv</t>
    </r>
  </si>
  <si>
    <r>
      <t xml:space="preserve">2.5d1 </t>
    </r>
    <r>
      <rPr>
        <sz val="10"/>
        <rFont val="Symbol"/>
        <family val="1"/>
      </rPr>
      <t>s</t>
    </r>
    <r>
      <rPr>
        <sz val="10"/>
        <rFont val="Arial"/>
        <family val="0"/>
      </rPr>
      <t>sv</t>
    </r>
  </si>
  <si>
    <r>
      <t>T.</t>
    </r>
    <r>
      <rPr>
        <vertAlign val="subscript"/>
        <sz val="10"/>
        <rFont val="Arial"/>
        <family val="2"/>
      </rPr>
      <t>sv</t>
    </r>
  </si>
  <si>
    <r>
      <t>V</t>
    </r>
    <r>
      <rPr>
        <vertAlign val="subscript"/>
        <sz val="10"/>
        <rFont val="Arial"/>
        <family val="2"/>
      </rPr>
      <t>sv</t>
    </r>
  </si>
  <si>
    <t xml:space="preserve">or </t>
  </si>
  <si>
    <t>Sv</t>
  </si>
  <si>
    <t>or</t>
  </si>
  <si>
    <t>or Sv</t>
  </si>
  <si>
    <t>)Sv</t>
  </si>
  <si>
    <r>
      <t>However, the spacing should not exceed the least of   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,   (x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+y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)/4   and 300 mm </t>
    </r>
  </si>
  <si>
    <t>where x1= short diamension of stirrups</t>
  </si>
  <si>
    <t>y1</t>
  </si>
  <si>
    <t>(x1+y1)/4</t>
  </si>
  <si>
    <t>)/</t>
  </si>
  <si>
    <t xml:space="preserve">Hence Sv </t>
  </si>
  <si>
    <t xml:space="preserve">mm is not permissible.   Keep Sv </t>
  </si>
  <si>
    <t xml:space="preserve">mm c/c . Incase the spacing to </t>
  </si>
  <si>
    <t xml:space="preserve">mm c/c in the mid span where both transverse shear as well as torsional shear are minimum. </t>
  </si>
  <si>
    <t>provide</t>
  </si>
  <si>
    <t>mm f holding bars. Keep the same setion for other flight.</t>
  </si>
  <si>
    <t>2 -</t>
  </si>
  <si>
    <t>table-3.2</t>
  </si>
  <si>
    <t>pk_nandwana@yahoo.co.in</t>
  </si>
  <si>
    <t>Space available for staire case</t>
  </si>
  <si>
    <t>width of stair case</t>
  </si>
  <si>
    <r>
      <t>N/m</t>
    </r>
    <r>
      <rPr>
        <vertAlign val="superscript"/>
        <sz val="12"/>
        <rFont val="Arial"/>
        <family val="2"/>
      </rPr>
      <t>2</t>
    </r>
  </si>
  <si>
    <r>
      <t>N/mm</t>
    </r>
    <r>
      <rPr>
        <vertAlign val="superscript"/>
        <sz val="12"/>
        <rFont val="Arial"/>
        <family val="2"/>
      </rPr>
      <t>3</t>
    </r>
  </si>
  <si>
    <r>
      <t>s</t>
    </r>
    <r>
      <rPr>
        <sz val="12"/>
        <rFont val="Arial"/>
        <family val="0"/>
      </rPr>
      <t>cbc</t>
    </r>
  </si>
  <si>
    <r>
      <t>N/mm</t>
    </r>
    <r>
      <rPr>
        <vertAlign val="superscript"/>
        <sz val="12"/>
        <rFont val="Arial"/>
        <family val="2"/>
      </rPr>
      <t>2</t>
    </r>
  </si>
  <si>
    <r>
      <t>s</t>
    </r>
    <r>
      <rPr>
        <sz val="12"/>
        <rFont val="Arial"/>
        <family val="2"/>
      </rPr>
      <t>st</t>
    </r>
  </si>
  <si>
    <r>
      <t>mm</t>
    </r>
    <r>
      <rPr>
        <sz val="12"/>
        <rFont val="Symbol"/>
        <family val="1"/>
      </rPr>
      <t xml:space="preserve"> F</t>
    </r>
  </si>
  <si>
    <t xml:space="preserve">Conrete                              </t>
  </si>
  <si>
    <t xml:space="preserve">Steel                                  </t>
  </si>
  <si>
    <t>Main Bars</t>
  </si>
  <si>
    <t xml:space="preserve">Anchor bars </t>
  </si>
  <si>
    <t>M -</t>
  </si>
  <si>
    <t>wt.</t>
  </si>
  <si>
    <t>fy</t>
  </si>
  <si>
    <t>Waist slab bars</t>
  </si>
  <si>
    <t>Sapcing  c/c</t>
  </si>
  <si>
    <t xml:space="preserve">Maimum permissible spacing </t>
  </si>
  <si>
    <t xml:space="preserve">Cross section at mid span </t>
  </si>
  <si>
    <t>mm c/c</t>
  </si>
  <si>
    <r>
      <t>mm</t>
    </r>
    <r>
      <rPr>
        <sz val="10"/>
        <rFont val="Symbol"/>
        <family val="1"/>
      </rPr>
      <t xml:space="preserve"> f </t>
    </r>
    <r>
      <rPr>
        <sz val="10"/>
        <rFont val="Arial"/>
        <family val="0"/>
      </rPr>
      <t>@</t>
    </r>
  </si>
  <si>
    <t>Anchor bars</t>
  </si>
  <si>
    <t>L - section</t>
  </si>
  <si>
    <t>main bars</t>
  </si>
  <si>
    <r>
      <t>mm</t>
    </r>
    <r>
      <rPr>
        <sz val="10"/>
        <rFont val="Symbol"/>
        <family val="1"/>
      </rPr>
      <t xml:space="preserve"> F </t>
    </r>
    <r>
      <rPr>
        <sz val="10"/>
        <rFont val="Arial"/>
        <family val="0"/>
      </rPr>
      <t>@</t>
    </r>
  </si>
  <si>
    <t>stirrups 2 ldg.</t>
  </si>
  <si>
    <t>mm anchore bars</t>
  </si>
  <si>
    <t>Bottom of waist</t>
  </si>
  <si>
    <r>
      <t>mm</t>
    </r>
    <r>
      <rPr>
        <sz val="10"/>
        <rFont val="Symbol"/>
        <family val="1"/>
      </rPr>
      <t xml:space="preserve"> f</t>
    </r>
    <r>
      <rPr>
        <sz val="10"/>
        <rFont val="Arial"/>
        <family val="0"/>
      </rPr>
      <t xml:space="preserve"> @</t>
    </r>
  </si>
  <si>
    <t>Landing</t>
  </si>
  <si>
    <t>8 mm F @</t>
  </si>
  <si>
    <t>300 mm c/c</t>
  </si>
  <si>
    <t>Bars Required</t>
  </si>
  <si>
    <t>Project name :-</t>
  </si>
  <si>
    <t>pkn</t>
  </si>
  <si>
    <t>Vetical distance of floor</t>
  </si>
  <si>
    <t>No of riser required =</t>
  </si>
  <si>
    <t xml:space="preserve">/ </t>
  </si>
  <si>
    <t xml:space="preserve">No of tread required </t>
  </si>
  <si>
    <t>No of treads  accomeded in long direction=</t>
  </si>
  <si>
    <t xml:space="preserve">No of tread accomeded in short direction </t>
  </si>
  <si>
    <t>No of treads  Required  in other long direction=</t>
  </si>
  <si>
    <t>treads=</t>
  </si>
  <si>
    <t>Treads=</t>
  </si>
  <si>
    <t>Genral  lay out of stair case</t>
  </si>
  <si>
    <t>Space required (mm)</t>
  </si>
  <si>
    <t>Space required (m)</t>
  </si>
  <si>
    <r>
      <t>mm</t>
    </r>
    <r>
      <rPr>
        <sz val="8"/>
        <rFont val="Symbol"/>
        <family val="1"/>
      </rPr>
      <t xml:space="preserve"> f </t>
    </r>
  </si>
  <si>
    <t>mid span</t>
  </si>
  <si>
    <t>Note:- Red color data are theoretical calculation data where black data are as per design data.</t>
  </si>
  <si>
    <t>Assume waist slab thickness</t>
  </si>
  <si>
    <t xml:space="preserve"> Assume width of stringer beam </t>
  </si>
  <si>
    <t>West slab thickness</t>
  </si>
  <si>
    <t>assume</t>
  </si>
  <si>
    <t>width of stringer beam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</si>
</sst>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0000000000"/>
    <numFmt numFmtId="174" formatCode="0.0000000000000"/>
    <numFmt numFmtId="175" formatCode="0.000000000000"/>
    <numFmt numFmtId="176" formatCode="0.00000000000"/>
  </numFmts>
  <fonts count="59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8"/>
      <name val="Arial"/>
      <family val="0"/>
    </font>
    <font>
      <sz val="12"/>
      <name val="Symbol"/>
      <family val="1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0"/>
    </font>
    <font>
      <b/>
      <i/>
      <u val="single"/>
      <sz val="10"/>
      <name val="Arial"/>
      <family val="2"/>
    </font>
    <font>
      <vertAlign val="subscript"/>
      <sz val="10"/>
      <name val="Arial"/>
      <family val="2"/>
    </font>
    <font>
      <sz val="11"/>
      <name val="Arial"/>
      <family val="0"/>
    </font>
    <font>
      <b/>
      <sz val="11"/>
      <name val="Symbol"/>
      <family val="1"/>
    </font>
    <font>
      <b/>
      <vertAlign val="subscript"/>
      <sz val="11"/>
      <name val="Arial"/>
      <family val="2"/>
    </font>
    <font>
      <u val="single"/>
      <vertAlign val="subscript"/>
      <sz val="10"/>
      <name val="Arial"/>
      <family val="0"/>
    </font>
    <font>
      <sz val="11"/>
      <name val="Symbol"/>
      <family val="1"/>
    </font>
    <font>
      <vertAlign val="subscript"/>
      <sz val="11"/>
      <name val="Arial"/>
      <family val="2"/>
    </font>
    <font>
      <b/>
      <sz val="12"/>
      <name val="Arial"/>
      <family val="2"/>
    </font>
    <font>
      <sz val="8"/>
      <name val="Symbol"/>
      <family val="1"/>
    </font>
    <font>
      <vertAlign val="subscript"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0"/>
    </font>
    <font>
      <vertAlign val="superscript"/>
      <sz val="8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bscript"/>
      <sz val="10"/>
      <name val="Arial"/>
      <family val="2"/>
    </font>
    <font>
      <b/>
      <i/>
      <sz val="10"/>
      <name val="Arial"/>
      <family val="2"/>
    </font>
    <font>
      <vertAlign val="sub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  <font>
      <vertAlign val="superscript"/>
      <sz val="12"/>
      <name val="Arial"/>
      <family val="2"/>
    </font>
    <font>
      <b/>
      <i/>
      <u val="single"/>
      <sz val="12"/>
      <name val="Arial"/>
      <family val="2"/>
    </font>
    <font>
      <sz val="12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43" fillId="3" borderId="0" applyNumberFormat="0" applyBorder="0" applyAlignment="0" applyProtection="0"/>
    <xf numFmtId="0" fontId="47" fillId="20" borderId="1" applyNumberFormat="0" applyAlignment="0" applyProtection="0"/>
    <xf numFmtId="0" fontId="4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7" borderId="1" applyNumberFormat="0" applyAlignment="0" applyProtection="0"/>
    <xf numFmtId="0" fontId="48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165" fontId="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 quotePrefix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0" fillId="22" borderId="12" xfId="0" applyFill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3" fillId="0" borderId="0" xfId="0" applyFont="1" applyAlignment="1" quotePrefix="1">
      <alignment horizontal="right"/>
    </xf>
    <xf numFmtId="2" fontId="1" fillId="0" borderId="0" xfId="0" applyNumberFormat="1" applyFont="1" applyAlignment="1">
      <alignment horizontal="center"/>
    </xf>
    <xf numFmtId="0" fontId="0" fillId="0" borderId="0" xfId="0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 quotePrefix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 quotePrefix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3" fillId="0" borderId="13" xfId="0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 quotePrefix="1">
      <alignment vertical="center"/>
    </xf>
    <xf numFmtId="2" fontId="0" fillId="0" borderId="0" xfId="0" applyNumberFormat="1" applyFont="1" applyAlignment="1" quotePrefix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" fontId="0" fillId="0" borderId="0" xfId="0" applyNumberFormat="1" applyFont="1" applyAlignment="1" quotePrefix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left" vertical="center"/>
    </xf>
    <xf numFmtId="2" fontId="0" fillId="0" borderId="11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1" fontId="0" fillId="0" borderId="0" xfId="0" applyNumberFormat="1" applyFont="1" applyAlignment="1" quotePrefix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Border="1" applyAlignment="1" quotePrefix="1">
      <alignment vertical="center"/>
    </xf>
    <xf numFmtId="1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 quotePrefix="1">
      <alignment horizontal="center" vertical="center"/>
    </xf>
    <xf numFmtId="1" fontId="0" fillId="0" borderId="0" xfId="0" applyNumberFormat="1" applyFont="1" applyAlignment="1" quotePrefix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right"/>
    </xf>
    <xf numFmtId="1" fontId="10" fillId="0" borderId="0" xfId="0" applyNumberFormat="1" applyFont="1" applyAlignment="1" quotePrefix="1">
      <alignment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0" fillId="0" borderId="11" xfId="0" applyNumberFormat="1" applyFont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9" fillId="25" borderId="0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0" fillId="25" borderId="12" xfId="0" applyFill="1" applyBorder="1" applyAlignment="1" quotePrefix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4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0" fillId="7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24" borderId="12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Alignment="1">
      <alignment/>
    </xf>
    <xf numFmtId="2" fontId="0" fillId="24" borderId="12" xfId="0" applyNumberFormat="1" applyFill="1" applyBorder="1" applyAlignment="1">
      <alignment horizontal="center" vertical="center"/>
    </xf>
    <xf numFmtId="0" fontId="0" fillId="3" borderId="0" xfId="0" applyFill="1" applyAlignment="1">
      <alignment/>
    </xf>
    <xf numFmtId="164" fontId="0" fillId="3" borderId="13" xfId="0" applyNumberFormat="1" applyFill="1" applyBorder="1" applyAlignment="1">
      <alignment horizontal="center" vertical="center"/>
    </xf>
    <xf numFmtId="1" fontId="0" fillId="3" borderId="12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2" fontId="0" fillId="24" borderId="17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0" fontId="9" fillId="8" borderId="0" xfId="0" applyFont="1" applyFill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top"/>
    </xf>
    <xf numFmtId="0" fontId="28" fillId="4" borderId="20" xfId="0" applyFont="1" applyFill="1" applyBorder="1" applyAlignment="1">
      <alignment horizontal="center" vertical="top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right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quotePrefix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1" fillId="0" borderId="0" xfId="52" applyFont="1" applyAlignment="1" applyProtection="1">
      <alignment/>
      <protection/>
    </xf>
    <xf numFmtId="1" fontId="0" fillId="0" borderId="0" xfId="0" applyNumberFormat="1" applyFill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Alignment="1">
      <alignment horizontal="right"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0" fontId="0" fillId="7" borderId="21" xfId="0" applyFill="1" applyBorder="1" applyAlignment="1">
      <alignment/>
    </xf>
    <xf numFmtId="0" fontId="0" fillId="7" borderId="0" xfId="0" applyFill="1" applyBorder="1" applyAlignment="1">
      <alignment/>
    </xf>
    <xf numFmtId="0" fontId="34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2" fontId="0" fillId="7" borderId="0" xfId="0" applyNumberFormat="1" applyFill="1" applyAlignment="1">
      <alignment/>
    </xf>
    <xf numFmtId="2" fontId="23" fillId="7" borderId="0" xfId="0" applyNumberFormat="1" applyFont="1" applyFill="1" applyAlignment="1">
      <alignment/>
    </xf>
    <xf numFmtId="2" fontId="0" fillId="7" borderId="0" xfId="0" applyNumberFormat="1" applyFill="1" applyAlignment="1">
      <alignment vertical="center"/>
    </xf>
    <xf numFmtId="1" fontId="0" fillId="7" borderId="0" xfId="0" applyNumberFormat="1" applyFill="1" applyAlignment="1">
      <alignment horizontal="left"/>
    </xf>
    <xf numFmtId="0" fontId="0" fillId="7" borderId="0" xfId="0" applyFill="1" applyAlignment="1">
      <alignment/>
    </xf>
    <xf numFmtId="0" fontId="0" fillId="7" borderId="0" xfId="0" applyFill="1" applyBorder="1" applyAlignment="1" quotePrefix="1">
      <alignment horizontal="center"/>
    </xf>
    <xf numFmtId="0" fontId="0" fillId="7" borderId="0" xfId="0" applyFill="1" applyBorder="1" applyAlignment="1">
      <alignment horizontal="center"/>
    </xf>
    <xf numFmtId="1" fontId="0" fillId="7" borderId="0" xfId="0" applyNumberFormat="1" applyFill="1" applyBorder="1" applyAlignment="1" quotePrefix="1">
      <alignment horizontal="center"/>
    </xf>
    <xf numFmtId="0" fontId="8" fillId="7" borderId="0" xfId="0" applyFont="1" applyFill="1" applyAlignment="1">
      <alignment/>
    </xf>
    <xf numFmtId="0" fontId="8" fillId="7" borderId="0" xfId="0" applyFont="1" applyFill="1" applyBorder="1" applyAlignment="1">
      <alignment horizontal="center"/>
    </xf>
    <xf numFmtId="0" fontId="0" fillId="7" borderId="17" xfId="0" applyFill="1" applyBorder="1" applyAlignment="1" quotePrefix="1">
      <alignment horizontal="center"/>
    </xf>
    <xf numFmtId="0" fontId="0" fillId="7" borderId="20" xfId="0" applyFill="1" applyBorder="1" applyAlignment="1" quotePrefix="1">
      <alignment horizontal="center"/>
    </xf>
    <xf numFmtId="0" fontId="0" fillId="7" borderId="15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 quotePrefix="1">
      <alignment horizontal="center"/>
    </xf>
    <xf numFmtId="1" fontId="0" fillId="7" borderId="12" xfId="0" applyNumberFormat="1" applyFill="1" applyBorder="1" applyAlignment="1">
      <alignment horizontal="center"/>
    </xf>
    <xf numFmtId="1" fontId="0" fillId="7" borderId="13" xfId="0" applyNumberFormat="1" applyFill="1" applyBorder="1" applyAlignment="1">
      <alignment horizontal="center"/>
    </xf>
    <xf numFmtId="0" fontId="6" fillId="7" borderId="18" xfId="0" applyFont="1" applyFill="1" applyBorder="1" applyAlignment="1">
      <alignment/>
    </xf>
    <xf numFmtId="0" fontId="0" fillId="7" borderId="19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22" xfId="0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19" fillId="0" borderId="2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33" fillId="0" borderId="21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1" fontId="0" fillId="0" borderId="19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right"/>
    </xf>
    <xf numFmtId="0" fontId="6" fillId="0" borderId="24" xfId="0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31" fillId="0" borderId="19" xfId="52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1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" fontId="0" fillId="0" borderId="13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6" fillId="7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0" fillId="7" borderId="0" xfId="0" applyFill="1" applyBorder="1" applyAlignment="1">
      <alignment horizontal="justify" vertical="center"/>
    </xf>
    <xf numFmtId="2" fontId="0" fillId="7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8" fillId="20" borderId="0" xfId="0" applyFont="1" applyFill="1" applyBorder="1" applyAlignment="1">
      <alignment/>
    </xf>
    <xf numFmtId="0" fontId="8" fillId="20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0" xfId="0" applyFont="1" applyFill="1" applyBorder="1" applyAlignment="1">
      <alignment horizontal="center" vertical="top"/>
    </xf>
    <xf numFmtId="0" fontId="0" fillId="7" borderId="0" xfId="0" applyFont="1" applyFill="1" applyBorder="1" applyAlignment="1">
      <alignment horizontal="right" vertical="center"/>
    </xf>
    <xf numFmtId="0" fontId="37" fillId="7" borderId="0" xfId="0" applyFont="1" applyFill="1" applyBorder="1" applyAlignment="1">
      <alignment horizontal="center"/>
    </xf>
    <xf numFmtId="0" fontId="19" fillId="7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8" fillId="7" borderId="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8" fillId="0" borderId="2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7" borderId="0" xfId="0" applyFill="1" applyAlignment="1">
      <alignment horizontal="right"/>
    </xf>
    <xf numFmtId="0" fontId="0" fillId="7" borderId="17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18" xfId="0" applyFill="1" applyBorder="1" applyAlignment="1">
      <alignment horizontal="justify" vertical="center"/>
    </xf>
    <xf numFmtId="0" fontId="0" fillId="0" borderId="22" xfId="0" applyFont="1" applyFill="1" applyBorder="1" applyAlignment="1">
      <alignment horizontal="center" vertical="top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0" xfId="0" applyFill="1" applyBorder="1" applyAlignment="1">
      <alignment horizontal="justify" vertical="center"/>
    </xf>
    <xf numFmtId="0" fontId="0" fillId="7" borderId="0" xfId="0" applyFill="1" applyAlignment="1">
      <alignment horizontal="justify" vertical="center"/>
    </xf>
    <xf numFmtId="0" fontId="0" fillId="0" borderId="10" xfId="0" applyFont="1" applyFill="1" applyBorder="1" applyAlignment="1">
      <alignment horizontal="center" vertical="top"/>
    </xf>
    <xf numFmtId="0" fontId="37" fillId="0" borderId="18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2" fontId="55" fillId="0" borderId="19" xfId="0" applyNumberFormat="1" applyFont="1" applyFill="1" applyBorder="1" applyAlignment="1">
      <alignment horizontal="center" vertical="center" wrapText="1"/>
    </xf>
    <xf numFmtId="2" fontId="55" fillId="0" borderId="22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2" fontId="56" fillId="0" borderId="15" xfId="0" applyNumberFormat="1" applyFont="1" applyFill="1" applyBorder="1" applyAlignment="1">
      <alignment horizontal="center"/>
    </xf>
    <xf numFmtId="2" fontId="56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top"/>
    </xf>
    <xf numFmtId="0" fontId="58" fillId="0" borderId="15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2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55" fillId="0" borderId="15" xfId="0" applyNumberFormat="1" applyFont="1" applyFill="1" applyBorder="1" applyAlignment="1">
      <alignment horizontal="center" vertical="center"/>
    </xf>
    <xf numFmtId="2" fontId="55" fillId="0" borderId="16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1" fontId="57" fillId="0" borderId="15" xfId="0" applyNumberFormat="1" applyFont="1" applyFill="1" applyBorder="1" applyAlignment="1">
      <alignment horizontal="center" vertical="center"/>
    </xf>
    <xf numFmtId="1" fontId="57" fillId="0" borderId="16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2" fontId="23" fillId="7" borderId="0" xfId="0" applyNumberFormat="1" applyFont="1" applyFill="1" applyAlignment="1">
      <alignment horizontal="center"/>
    </xf>
    <xf numFmtId="0" fontId="23" fillId="7" borderId="0" xfId="0" applyFont="1" applyFill="1" applyAlignment="1">
      <alignment horizontal="center"/>
    </xf>
    <xf numFmtId="2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0" fillId="7" borderId="24" xfId="0" applyFill="1" applyBorder="1" applyAlignment="1">
      <alignment horizontal="center"/>
    </xf>
    <xf numFmtId="0" fontId="8" fillId="0" borderId="0" xfId="0" applyFont="1" applyFill="1" applyBorder="1" applyAlignment="1">
      <alignment horizontal="right" vertical="center"/>
    </xf>
    <xf numFmtId="0" fontId="36" fillId="7" borderId="22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6" fillId="7" borderId="18" xfId="0" applyFont="1" applyFill="1" applyBorder="1" applyAlignment="1">
      <alignment horizontal="justify"/>
    </xf>
    <xf numFmtId="0" fontId="36" fillId="7" borderId="11" xfId="0" applyFont="1" applyFill="1" applyBorder="1" applyAlignment="1">
      <alignment horizontal="justify"/>
    </xf>
    <xf numFmtId="0" fontId="36" fillId="7" borderId="24" xfId="0" applyFont="1" applyFill="1" applyBorder="1" applyAlignment="1">
      <alignment horizontal="justify"/>
    </xf>
    <xf numFmtId="0" fontId="36" fillId="7" borderId="21" xfId="0" applyFont="1" applyFill="1" applyBorder="1" applyAlignment="1">
      <alignment horizontal="justify"/>
    </xf>
    <xf numFmtId="0" fontId="36" fillId="7" borderId="0" xfId="0" applyFont="1" applyFill="1" applyBorder="1" applyAlignment="1">
      <alignment horizontal="justify"/>
    </xf>
    <xf numFmtId="0" fontId="36" fillId="7" borderId="23" xfId="0" applyFont="1" applyFill="1" applyBorder="1" applyAlignment="1">
      <alignment horizontal="justify"/>
    </xf>
    <xf numFmtId="0" fontId="36" fillId="7" borderId="19" xfId="0" applyFont="1" applyFill="1" applyBorder="1" applyAlignment="1">
      <alignment horizontal="justify"/>
    </xf>
    <xf numFmtId="0" fontId="36" fillId="7" borderId="10" xfId="0" applyFont="1" applyFill="1" applyBorder="1" applyAlignment="1">
      <alignment horizontal="justify"/>
    </xf>
    <xf numFmtId="0" fontId="0" fillId="7" borderId="11" xfId="0" applyFill="1" applyBorder="1" applyAlignment="1">
      <alignment horizontal="justify" vertical="center"/>
    </xf>
    <xf numFmtId="0" fontId="0" fillId="7" borderId="19" xfId="0" applyFill="1" applyBorder="1" applyAlignment="1">
      <alignment horizontal="justify" vertical="center"/>
    </xf>
    <xf numFmtId="0" fontId="0" fillId="7" borderId="10" xfId="0" applyFill="1" applyBorder="1" applyAlignment="1">
      <alignment horizontal="justify" vertical="center"/>
    </xf>
    <xf numFmtId="0" fontId="0" fillId="7" borderId="21" xfId="0" applyFill="1" applyBorder="1" applyAlignment="1">
      <alignment horizontal="justify"/>
    </xf>
    <xf numFmtId="0" fontId="0" fillId="7" borderId="0" xfId="0" applyFill="1" applyBorder="1" applyAlignment="1">
      <alignment horizontal="justify"/>
    </xf>
    <xf numFmtId="1" fontId="0" fillId="7" borderId="21" xfId="0" applyNumberFormat="1" applyFill="1" applyBorder="1" applyAlignment="1">
      <alignment horizontal="center" vertical="center"/>
    </xf>
    <xf numFmtId="1" fontId="0" fillId="7" borderId="23" xfId="0" applyNumberFormat="1" applyFill="1" applyBorder="1" applyAlignment="1">
      <alignment horizontal="center" vertical="center"/>
    </xf>
    <xf numFmtId="1" fontId="0" fillId="7" borderId="19" xfId="0" applyNumberFormat="1" applyFill="1" applyBorder="1" applyAlignment="1">
      <alignment horizontal="center" vertical="center"/>
    </xf>
    <xf numFmtId="1" fontId="0" fillId="7" borderId="22" xfId="0" applyNumberFormat="1" applyFill="1" applyBorder="1" applyAlignment="1">
      <alignment horizontal="center" vertical="center"/>
    </xf>
    <xf numFmtId="0" fontId="0" fillId="7" borderId="0" xfId="0" applyFill="1" applyBorder="1" applyAlignment="1" quotePrefix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 quotePrefix="1">
      <alignment horizontal="center" vertical="center"/>
    </xf>
    <xf numFmtId="1" fontId="0" fillId="7" borderId="0" xfId="0" applyNumberFormat="1" applyFill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4" xfId="0" applyFill="1" applyBorder="1" applyAlignment="1" quotePrefix="1">
      <alignment horizontal="center" vertical="center"/>
    </xf>
    <xf numFmtId="1" fontId="0" fillId="7" borderId="11" xfId="0" applyNumberFormat="1" applyFill="1" applyBorder="1" applyAlignment="1">
      <alignment horizontal="center" vertical="center"/>
    </xf>
    <xf numFmtId="1" fontId="0" fillId="7" borderId="18" xfId="0" applyNumberFormat="1" applyFill="1" applyBorder="1" applyAlignment="1">
      <alignment horizontal="center" vertical="center"/>
    </xf>
    <xf numFmtId="2" fontId="0" fillId="7" borderId="24" xfId="0" applyNumberFormat="1" applyFill="1" applyBorder="1" applyAlignment="1">
      <alignment horizontal="center" vertical="center"/>
    </xf>
    <xf numFmtId="2" fontId="0" fillId="7" borderId="22" xfId="0" applyNumberForma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2" fontId="23" fillId="7" borderId="0" xfId="0" applyNumberFormat="1" applyFont="1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35" fillId="7" borderId="14" xfId="0" applyFont="1" applyFill="1" applyBorder="1" applyAlignment="1">
      <alignment horizontal="center" vertical="center" wrapText="1"/>
    </xf>
    <xf numFmtId="0" fontId="35" fillId="7" borderId="20" xfId="0" applyFont="1" applyFill="1" applyBorder="1" applyAlignment="1">
      <alignment horizontal="center" vertical="center" wrapText="1"/>
    </xf>
    <xf numFmtId="2" fontId="0" fillId="7" borderId="14" xfId="0" applyNumberFormat="1" applyFill="1" applyBorder="1" applyAlignment="1">
      <alignment horizontal="center" vertical="center"/>
    </xf>
    <xf numFmtId="2" fontId="0" fillId="7" borderId="20" xfId="0" applyNumberFormat="1" applyFill="1" applyBorder="1" applyAlignment="1">
      <alignment horizontal="center" vertical="center"/>
    </xf>
    <xf numFmtId="2" fontId="0" fillId="7" borderId="17" xfId="0" applyNumberForma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11" xfId="0" applyFill="1" applyBorder="1" applyAlignment="1" quotePrefix="1">
      <alignment horizontal="center" vertical="center"/>
    </xf>
    <xf numFmtId="0" fontId="0" fillId="7" borderId="10" xfId="0" applyFill="1" applyBorder="1" applyAlignment="1" quotePrefix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" fontId="0" fillId="0" borderId="1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23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center" vertical="top"/>
    </xf>
    <xf numFmtId="1" fontId="2" fillId="0" borderId="0" xfId="0" applyNumberFormat="1" applyFont="1" applyAlignment="1" quotePrefix="1">
      <alignment horizontal="center" vertical="top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" fontId="0" fillId="0" borderId="0" xfId="0" applyNumberFormat="1" applyFont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Border="1" applyAlignment="1" quotePrefix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2" fontId="0" fillId="7" borderId="18" xfId="0" applyNumberFormat="1" applyFill="1" applyBorder="1" applyAlignment="1">
      <alignment horizontal="center" vertical="center"/>
    </xf>
    <xf numFmtId="2" fontId="0" fillId="7" borderId="19" xfId="0" applyNumberFormat="1" applyFill="1" applyBorder="1" applyAlignment="1">
      <alignment horizontal="center" vertical="center"/>
    </xf>
    <xf numFmtId="0" fontId="36" fillId="7" borderId="21" xfId="0" applyFont="1" applyFill="1" applyBorder="1" applyAlignment="1">
      <alignment horizontal="justify" vertical="top"/>
    </xf>
    <xf numFmtId="0" fontId="36" fillId="7" borderId="0" xfId="0" applyFont="1" applyFill="1" applyBorder="1" applyAlignment="1">
      <alignment horizontal="justify" vertical="top"/>
    </xf>
    <xf numFmtId="0" fontId="35" fillId="7" borderId="18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Border="1" applyAlignment="1">
      <alignment wrapText="1"/>
    </xf>
    <xf numFmtId="2" fontId="0" fillId="7" borderId="21" xfId="0" applyNumberFormat="1" applyFill="1" applyBorder="1" applyAlignment="1">
      <alignment horizontal="center" vertical="center"/>
    </xf>
    <xf numFmtId="2" fontId="0" fillId="7" borderId="23" xfId="0" applyNumberForma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35" fillId="7" borderId="18" xfId="0" applyFont="1" applyFill="1" applyBorder="1" applyAlignment="1">
      <alignment horizontal="center" vertical="center" wrapText="1"/>
    </xf>
    <xf numFmtId="0" fontId="35" fillId="7" borderId="24" xfId="0" applyFont="1" applyFill="1" applyBorder="1" applyAlignment="1">
      <alignment horizontal="center" vertical="center" wrapText="1"/>
    </xf>
    <xf numFmtId="0" fontId="35" fillId="7" borderId="21" xfId="0" applyFont="1" applyFill="1" applyBorder="1" applyAlignment="1">
      <alignment horizontal="center" vertical="center" wrapText="1"/>
    </xf>
    <xf numFmtId="0" fontId="35" fillId="7" borderId="23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2" fontId="0" fillId="24" borderId="12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1" fontId="0" fillId="3" borderId="15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0" fontId="0" fillId="3" borderId="15" xfId="0" applyFill="1" applyBorder="1" applyAlignment="1" quotePrefix="1">
      <alignment horizontal="center"/>
    </xf>
    <xf numFmtId="0" fontId="0" fillId="3" borderId="13" xfId="0" applyFill="1" applyBorder="1" applyAlignment="1" quotePrefix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24" borderId="19" xfId="0" applyFill="1" applyBorder="1" applyAlignment="1">
      <alignment horizontal="center" vertical="top"/>
    </xf>
    <xf numFmtId="0" fontId="0" fillId="24" borderId="22" xfId="0" applyFill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8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22" xfId="0" applyFill="1" applyBorder="1" applyAlignment="1">
      <alignment horizontal="left" vertical="center" wrapText="1"/>
    </xf>
    <xf numFmtId="0" fontId="10" fillId="24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64" fontId="0" fillId="0" borderId="21" xfId="0" applyNumberFormat="1" applyBorder="1" applyAlignment="1">
      <alignment horizontal="right" vertical="center"/>
    </xf>
    <xf numFmtId="0" fontId="0" fillId="7" borderId="12" xfId="0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164" fontId="0" fillId="0" borderId="23" xfId="0" applyNumberFormat="1" applyFill="1" applyBorder="1" applyAlignment="1">
      <alignment horizontal="right" vertical="center"/>
    </xf>
    <xf numFmtId="0" fontId="10" fillId="24" borderId="18" xfId="0" applyFont="1" applyFill="1" applyBorder="1" applyAlignment="1">
      <alignment horizontal="center" vertical="center"/>
    </xf>
    <xf numFmtId="0" fontId="10" fillId="24" borderId="24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0" borderId="0" xfId="0" applyAlignment="1">
      <alignment horizontal="right" vertical="center" textRotation="90"/>
    </xf>
    <xf numFmtId="0" fontId="9" fillId="7" borderId="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 vertical="center"/>
    </xf>
    <xf numFmtId="0" fontId="9" fillId="25" borderId="13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25</xdr:row>
      <xdr:rowOff>9525</xdr:rowOff>
    </xdr:from>
    <xdr:to>
      <xdr:col>1</xdr:col>
      <xdr:colOff>295275</xdr:colOff>
      <xdr:row>30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00075" y="4895850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19050</xdr:rowOff>
    </xdr:from>
    <xdr:to>
      <xdr:col>3</xdr:col>
      <xdr:colOff>0</xdr:colOff>
      <xdr:row>30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14400" y="4905375"/>
          <a:ext cx="0" cy="3190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25</xdr:row>
      <xdr:rowOff>9525</xdr:rowOff>
    </xdr:from>
    <xdr:to>
      <xdr:col>5</xdr:col>
      <xdr:colOff>28575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600075" y="48958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609600" y="45053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257175</xdr:colOff>
      <xdr:row>33</xdr:row>
      <xdr:rowOff>0</xdr:rowOff>
    </xdr:from>
    <xdr:to>
      <xdr:col>18</xdr:col>
      <xdr:colOff>333375</xdr:colOff>
      <xdr:row>33</xdr:row>
      <xdr:rowOff>0</xdr:rowOff>
    </xdr:to>
    <xdr:sp>
      <xdr:nvSpPr>
        <xdr:cNvPr id="5" name="Line 6"/>
        <xdr:cNvSpPr>
          <a:spLocks/>
        </xdr:cNvSpPr>
      </xdr:nvSpPr>
      <xdr:spPr>
        <a:xfrm>
          <a:off x="4829175" y="84867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35</xdr:row>
      <xdr:rowOff>0</xdr:rowOff>
    </xdr:from>
    <xdr:to>
      <xdr:col>16</xdr:col>
      <xdr:colOff>295275</xdr:colOff>
      <xdr:row>35</xdr:row>
      <xdr:rowOff>0</xdr:rowOff>
    </xdr:to>
    <xdr:sp>
      <xdr:nvSpPr>
        <xdr:cNvPr id="6" name="Line 7"/>
        <xdr:cNvSpPr>
          <a:spLocks/>
        </xdr:cNvSpPr>
      </xdr:nvSpPr>
      <xdr:spPr>
        <a:xfrm>
          <a:off x="4581525" y="8867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9525</xdr:rowOff>
    </xdr:to>
    <xdr:sp>
      <xdr:nvSpPr>
        <xdr:cNvPr id="7" name="Line 9"/>
        <xdr:cNvSpPr>
          <a:spLocks/>
        </xdr:cNvSpPr>
      </xdr:nvSpPr>
      <xdr:spPr>
        <a:xfrm>
          <a:off x="1828800" y="45053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295275</xdr:colOff>
      <xdr:row>24</xdr:row>
      <xdr:rowOff>9525</xdr:rowOff>
    </xdr:to>
    <xdr:sp>
      <xdr:nvSpPr>
        <xdr:cNvPr id="8" name="Line 10"/>
        <xdr:cNvSpPr>
          <a:spLocks/>
        </xdr:cNvSpPr>
      </xdr:nvSpPr>
      <xdr:spPr>
        <a:xfrm>
          <a:off x="1828800" y="47053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9525</xdr:rowOff>
    </xdr:from>
    <xdr:to>
      <xdr:col>7</xdr:col>
      <xdr:colOff>0</xdr:colOff>
      <xdr:row>25</xdr:row>
      <xdr:rowOff>9525</xdr:rowOff>
    </xdr:to>
    <xdr:sp>
      <xdr:nvSpPr>
        <xdr:cNvPr id="9" name="Line 11"/>
        <xdr:cNvSpPr>
          <a:spLocks/>
        </xdr:cNvSpPr>
      </xdr:nvSpPr>
      <xdr:spPr>
        <a:xfrm>
          <a:off x="2133600" y="4705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9525</xdr:rowOff>
    </xdr:from>
    <xdr:to>
      <xdr:col>8</xdr:col>
      <xdr:colOff>0</xdr:colOff>
      <xdr:row>25</xdr:row>
      <xdr:rowOff>9525</xdr:rowOff>
    </xdr:to>
    <xdr:sp>
      <xdr:nvSpPr>
        <xdr:cNvPr id="10" name="Line 12"/>
        <xdr:cNvSpPr>
          <a:spLocks/>
        </xdr:cNvSpPr>
      </xdr:nvSpPr>
      <xdr:spPr>
        <a:xfrm>
          <a:off x="2143125" y="48958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9525</xdr:rowOff>
    </xdr:from>
    <xdr:to>
      <xdr:col>8</xdr:col>
      <xdr:colOff>0</xdr:colOff>
      <xdr:row>26</xdr:row>
      <xdr:rowOff>9525</xdr:rowOff>
    </xdr:to>
    <xdr:sp>
      <xdr:nvSpPr>
        <xdr:cNvPr id="11" name="Line 13"/>
        <xdr:cNvSpPr>
          <a:spLocks/>
        </xdr:cNvSpPr>
      </xdr:nvSpPr>
      <xdr:spPr>
        <a:xfrm>
          <a:off x="2438400" y="4895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9525</xdr:rowOff>
    </xdr:from>
    <xdr:to>
      <xdr:col>9</xdr:col>
      <xdr:colOff>9525</xdr:colOff>
      <xdr:row>26</xdr:row>
      <xdr:rowOff>180975</xdr:rowOff>
    </xdr:to>
    <xdr:grpSp>
      <xdr:nvGrpSpPr>
        <xdr:cNvPr id="12" name="Group 16"/>
        <xdr:cNvGrpSpPr>
          <a:grpSpLocks/>
        </xdr:cNvGrpSpPr>
      </xdr:nvGrpSpPr>
      <xdr:grpSpPr>
        <a:xfrm>
          <a:off x="2447925" y="5086350"/>
          <a:ext cx="304800" cy="171450"/>
          <a:chOff x="224" y="450"/>
          <a:chExt cx="32" cy="18"/>
        </a:xfrm>
        <a:solidFill>
          <a:srgbClr val="FFFFFF"/>
        </a:solidFill>
      </xdr:grpSpPr>
      <xdr:sp>
        <xdr:nvSpPr>
          <xdr:cNvPr id="13" name="Line 14"/>
          <xdr:cNvSpPr>
            <a:spLocks/>
          </xdr:cNvSpPr>
        </xdr:nvSpPr>
        <xdr:spPr>
          <a:xfrm>
            <a:off x="224" y="450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>
            <a:off x="256" y="450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27</xdr:row>
      <xdr:rowOff>114300</xdr:rowOff>
    </xdr:from>
    <xdr:to>
      <xdr:col>10</xdr:col>
      <xdr:colOff>0</xdr:colOff>
      <xdr:row>27</xdr:row>
      <xdr:rowOff>2152650</xdr:rowOff>
    </xdr:to>
    <xdr:grpSp>
      <xdr:nvGrpSpPr>
        <xdr:cNvPr id="15" name="Group 17"/>
        <xdr:cNvGrpSpPr>
          <a:grpSpLocks/>
        </xdr:cNvGrpSpPr>
      </xdr:nvGrpSpPr>
      <xdr:grpSpPr>
        <a:xfrm>
          <a:off x="2743200" y="5381625"/>
          <a:ext cx="304800" cy="2038350"/>
          <a:chOff x="224" y="450"/>
          <a:chExt cx="32" cy="18"/>
        </a:xfrm>
        <a:solidFill>
          <a:srgbClr val="FFFFFF"/>
        </a:solidFill>
      </xdr:grpSpPr>
      <xdr:sp>
        <xdr:nvSpPr>
          <xdr:cNvPr id="16" name="Line 18"/>
          <xdr:cNvSpPr>
            <a:spLocks/>
          </xdr:cNvSpPr>
        </xdr:nvSpPr>
        <xdr:spPr>
          <a:xfrm>
            <a:off x="224" y="450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9"/>
          <xdr:cNvSpPr>
            <a:spLocks/>
          </xdr:cNvSpPr>
        </xdr:nvSpPr>
        <xdr:spPr>
          <a:xfrm>
            <a:off x="256" y="450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28</xdr:row>
      <xdr:rowOff>9525</xdr:rowOff>
    </xdr:from>
    <xdr:to>
      <xdr:col>11</xdr:col>
      <xdr:colOff>0</xdr:colOff>
      <xdr:row>28</xdr:row>
      <xdr:rowOff>180975</xdr:rowOff>
    </xdr:to>
    <xdr:grpSp>
      <xdr:nvGrpSpPr>
        <xdr:cNvPr id="18" name="Group 20"/>
        <xdr:cNvGrpSpPr>
          <a:grpSpLocks/>
        </xdr:cNvGrpSpPr>
      </xdr:nvGrpSpPr>
      <xdr:grpSpPr>
        <a:xfrm>
          <a:off x="3048000" y="7543800"/>
          <a:ext cx="304800" cy="171450"/>
          <a:chOff x="224" y="450"/>
          <a:chExt cx="32" cy="18"/>
        </a:xfrm>
        <a:solidFill>
          <a:srgbClr val="FFFFFF"/>
        </a:solidFill>
      </xdr:grpSpPr>
      <xdr:sp>
        <xdr:nvSpPr>
          <xdr:cNvPr id="19" name="Line 21"/>
          <xdr:cNvSpPr>
            <a:spLocks/>
          </xdr:cNvSpPr>
        </xdr:nvSpPr>
        <xdr:spPr>
          <a:xfrm>
            <a:off x="224" y="450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2"/>
          <xdr:cNvSpPr>
            <a:spLocks/>
          </xdr:cNvSpPr>
        </xdr:nvSpPr>
        <xdr:spPr>
          <a:xfrm>
            <a:off x="256" y="450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29</xdr:row>
      <xdr:rowOff>9525</xdr:rowOff>
    </xdr:from>
    <xdr:to>
      <xdr:col>12</xdr:col>
      <xdr:colOff>0</xdr:colOff>
      <xdr:row>29</xdr:row>
      <xdr:rowOff>180975</xdr:rowOff>
    </xdr:to>
    <xdr:grpSp>
      <xdr:nvGrpSpPr>
        <xdr:cNvPr id="21" name="Group 23"/>
        <xdr:cNvGrpSpPr>
          <a:grpSpLocks/>
        </xdr:cNvGrpSpPr>
      </xdr:nvGrpSpPr>
      <xdr:grpSpPr>
        <a:xfrm>
          <a:off x="3352800" y="7734300"/>
          <a:ext cx="304800" cy="171450"/>
          <a:chOff x="224" y="450"/>
          <a:chExt cx="32" cy="18"/>
        </a:xfrm>
        <a:solidFill>
          <a:srgbClr val="FFFFFF"/>
        </a:solidFill>
      </xdr:grpSpPr>
      <xdr:sp>
        <xdr:nvSpPr>
          <xdr:cNvPr id="22" name="Line 24"/>
          <xdr:cNvSpPr>
            <a:spLocks/>
          </xdr:cNvSpPr>
        </xdr:nvSpPr>
        <xdr:spPr>
          <a:xfrm>
            <a:off x="224" y="450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5"/>
          <xdr:cNvSpPr>
            <a:spLocks/>
          </xdr:cNvSpPr>
        </xdr:nvSpPr>
        <xdr:spPr>
          <a:xfrm>
            <a:off x="256" y="450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30</xdr:row>
      <xdr:rowOff>9525</xdr:rowOff>
    </xdr:from>
    <xdr:to>
      <xdr:col>13</xdr:col>
      <xdr:colOff>0</xdr:colOff>
      <xdr:row>30</xdr:row>
      <xdr:rowOff>180975</xdr:rowOff>
    </xdr:to>
    <xdr:grpSp>
      <xdr:nvGrpSpPr>
        <xdr:cNvPr id="24" name="Group 26"/>
        <xdr:cNvGrpSpPr>
          <a:grpSpLocks/>
        </xdr:cNvGrpSpPr>
      </xdr:nvGrpSpPr>
      <xdr:grpSpPr>
        <a:xfrm>
          <a:off x="3657600" y="7924800"/>
          <a:ext cx="304800" cy="171450"/>
          <a:chOff x="224" y="450"/>
          <a:chExt cx="32" cy="18"/>
        </a:xfrm>
        <a:solidFill>
          <a:srgbClr val="FFFFFF"/>
        </a:solidFill>
      </xdr:grpSpPr>
      <xdr:sp>
        <xdr:nvSpPr>
          <xdr:cNvPr id="25" name="Line 27"/>
          <xdr:cNvSpPr>
            <a:spLocks/>
          </xdr:cNvSpPr>
        </xdr:nvSpPr>
        <xdr:spPr>
          <a:xfrm>
            <a:off x="224" y="450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8"/>
          <xdr:cNvSpPr>
            <a:spLocks/>
          </xdr:cNvSpPr>
        </xdr:nvSpPr>
        <xdr:spPr>
          <a:xfrm>
            <a:off x="256" y="450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31</xdr:row>
      <xdr:rowOff>9525</xdr:rowOff>
    </xdr:from>
    <xdr:to>
      <xdr:col>14</xdr:col>
      <xdr:colOff>0</xdr:colOff>
      <xdr:row>31</xdr:row>
      <xdr:rowOff>180975</xdr:rowOff>
    </xdr:to>
    <xdr:grpSp>
      <xdr:nvGrpSpPr>
        <xdr:cNvPr id="27" name="Group 29"/>
        <xdr:cNvGrpSpPr>
          <a:grpSpLocks/>
        </xdr:cNvGrpSpPr>
      </xdr:nvGrpSpPr>
      <xdr:grpSpPr>
        <a:xfrm>
          <a:off x="3962400" y="8115300"/>
          <a:ext cx="304800" cy="171450"/>
          <a:chOff x="224" y="450"/>
          <a:chExt cx="32" cy="18"/>
        </a:xfrm>
        <a:solidFill>
          <a:srgbClr val="FFFFFF"/>
        </a:solidFill>
      </xdr:grpSpPr>
      <xdr:sp>
        <xdr:nvSpPr>
          <xdr:cNvPr id="28" name="Line 30"/>
          <xdr:cNvSpPr>
            <a:spLocks/>
          </xdr:cNvSpPr>
        </xdr:nvSpPr>
        <xdr:spPr>
          <a:xfrm>
            <a:off x="224" y="450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1"/>
          <xdr:cNvSpPr>
            <a:spLocks/>
          </xdr:cNvSpPr>
        </xdr:nvSpPr>
        <xdr:spPr>
          <a:xfrm>
            <a:off x="256" y="450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32</xdr:row>
      <xdr:rowOff>9525</xdr:rowOff>
    </xdr:from>
    <xdr:to>
      <xdr:col>15</xdr:col>
      <xdr:colOff>0</xdr:colOff>
      <xdr:row>32</xdr:row>
      <xdr:rowOff>180975</xdr:rowOff>
    </xdr:to>
    <xdr:grpSp>
      <xdr:nvGrpSpPr>
        <xdr:cNvPr id="30" name="Group 32"/>
        <xdr:cNvGrpSpPr>
          <a:grpSpLocks/>
        </xdr:cNvGrpSpPr>
      </xdr:nvGrpSpPr>
      <xdr:grpSpPr>
        <a:xfrm>
          <a:off x="4267200" y="8305800"/>
          <a:ext cx="304800" cy="171450"/>
          <a:chOff x="224" y="450"/>
          <a:chExt cx="32" cy="18"/>
        </a:xfrm>
        <a:solidFill>
          <a:srgbClr val="FFFFFF"/>
        </a:solidFill>
      </xdr:grpSpPr>
      <xdr:sp>
        <xdr:nvSpPr>
          <xdr:cNvPr id="31" name="Line 33"/>
          <xdr:cNvSpPr>
            <a:spLocks/>
          </xdr:cNvSpPr>
        </xdr:nvSpPr>
        <xdr:spPr>
          <a:xfrm>
            <a:off x="224" y="450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4"/>
          <xdr:cNvSpPr>
            <a:spLocks/>
          </xdr:cNvSpPr>
        </xdr:nvSpPr>
        <xdr:spPr>
          <a:xfrm>
            <a:off x="256" y="450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33</xdr:row>
      <xdr:rowOff>0</xdr:rowOff>
    </xdr:from>
    <xdr:to>
      <xdr:col>16</xdr:col>
      <xdr:colOff>0</xdr:colOff>
      <xdr:row>33</xdr:row>
      <xdr:rowOff>0</xdr:rowOff>
    </xdr:to>
    <xdr:sp>
      <xdr:nvSpPr>
        <xdr:cNvPr id="33" name="Line 36"/>
        <xdr:cNvSpPr>
          <a:spLocks/>
        </xdr:cNvSpPr>
      </xdr:nvSpPr>
      <xdr:spPr>
        <a:xfrm>
          <a:off x="4572000" y="84867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39</xdr:row>
      <xdr:rowOff>0</xdr:rowOff>
    </xdr:to>
    <xdr:sp>
      <xdr:nvSpPr>
        <xdr:cNvPr id="34" name="Line 37"/>
        <xdr:cNvSpPr>
          <a:spLocks/>
        </xdr:cNvSpPr>
      </xdr:nvSpPr>
      <xdr:spPr>
        <a:xfrm>
          <a:off x="5181600" y="88677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133350</xdr:rowOff>
    </xdr:from>
    <xdr:to>
      <xdr:col>18</xdr:col>
      <xdr:colOff>0</xdr:colOff>
      <xdr:row>38</xdr:row>
      <xdr:rowOff>161925</xdr:rowOff>
    </xdr:to>
    <xdr:sp>
      <xdr:nvSpPr>
        <xdr:cNvPr id="35" name="Line 44"/>
        <xdr:cNvSpPr>
          <a:spLocks/>
        </xdr:cNvSpPr>
      </xdr:nvSpPr>
      <xdr:spPr>
        <a:xfrm>
          <a:off x="5486400" y="86201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285750</xdr:colOff>
      <xdr:row>33</xdr:row>
      <xdr:rowOff>123825</xdr:rowOff>
    </xdr:from>
    <xdr:to>
      <xdr:col>19</xdr:col>
      <xdr:colOff>0</xdr:colOff>
      <xdr:row>33</xdr:row>
      <xdr:rowOff>123825</xdr:rowOff>
    </xdr:to>
    <xdr:sp>
      <xdr:nvSpPr>
        <xdr:cNvPr id="36" name="Line 45"/>
        <xdr:cNvSpPr>
          <a:spLocks/>
        </xdr:cNvSpPr>
      </xdr:nvSpPr>
      <xdr:spPr>
        <a:xfrm>
          <a:off x="5467350" y="86106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23</xdr:row>
      <xdr:rowOff>66675</xdr:rowOff>
    </xdr:from>
    <xdr:to>
      <xdr:col>15</xdr:col>
      <xdr:colOff>19050</xdr:colOff>
      <xdr:row>34</xdr:row>
      <xdr:rowOff>133350</xdr:rowOff>
    </xdr:to>
    <xdr:sp>
      <xdr:nvSpPr>
        <xdr:cNvPr id="37" name="Line 47"/>
        <xdr:cNvSpPr>
          <a:spLocks/>
        </xdr:cNvSpPr>
      </xdr:nvSpPr>
      <xdr:spPr>
        <a:xfrm>
          <a:off x="1114425" y="4572000"/>
          <a:ext cx="3476625" cy="423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34</xdr:row>
      <xdr:rowOff>133350</xdr:rowOff>
    </xdr:from>
    <xdr:to>
      <xdr:col>16</xdr:col>
      <xdr:colOff>285750</xdr:colOff>
      <xdr:row>34</xdr:row>
      <xdr:rowOff>133350</xdr:rowOff>
    </xdr:to>
    <xdr:sp>
      <xdr:nvSpPr>
        <xdr:cNvPr id="38" name="Line 48"/>
        <xdr:cNvSpPr>
          <a:spLocks/>
        </xdr:cNvSpPr>
      </xdr:nvSpPr>
      <xdr:spPr>
        <a:xfrm>
          <a:off x="4600575" y="88106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47625</xdr:rowOff>
    </xdr:from>
    <xdr:to>
      <xdr:col>4</xdr:col>
      <xdr:colOff>295275</xdr:colOff>
      <xdr:row>23</xdr:row>
      <xdr:rowOff>47625</xdr:rowOff>
    </xdr:to>
    <xdr:sp>
      <xdr:nvSpPr>
        <xdr:cNvPr id="39" name="Line 49"/>
        <xdr:cNvSpPr>
          <a:spLocks/>
        </xdr:cNvSpPr>
      </xdr:nvSpPr>
      <xdr:spPr>
        <a:xfrm>
          <a:off x="638175" y="45529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23</xdr:row>
      <xdr:rowOff>47625</xdr:rowOff>
    </xdr:from>
    <xdr:to>
      <xdr:col>15</xdr:col>
      <xdr:colOff>38100</xdr:colOff>
      <xdr:row>33</xdr:row>
      <xdr:rowOff>85725</xdr:rowOff>
    </xdr:to>
    <xdr:sp>
      <xdr:nvSpPr>
        <xdr:cNvPr id="40" name="Line 50"/>
        <xdr:cNvSpPr>
          <a:spLocks/>
        </xdr:cNvSpPr>
      </xdr:nvSpPr>
      <xdr:spPr>
        <a:xfrm>
          <a:off x="1514475" y="4552950"/>
          <a:ext cx="3095625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33</xdr:row>
      <xdr:rowOff>95250</xdr:rowOff>
    </xdr:from>
    <xdr:to>
      <xdr:col>17</xdr:col>
      <xdr:colOff>9525</xdr:colOff>
      <xdr:row>33</xdr:row>
      <xdr:rowOff>95250</xdr:rowOff>
    </xdr:to>
    <xdr:sp>
      <xdr:nvSpPr>
        <xdr:cNvPr id="41" name="Line 51"/>
        <xdr:cNvSpPr>
          <a:spLocks/>
        </xdr:cNvSpPr>
      </xdr:nvSpPr>
      <xdr:spPr>
        <a:xfrm>
          <a:off x="4629150" y="8582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152400</xdr:rowOff>
    </xdr:from>
    <xdr:to>
      <xdr:col>6</xdr:col>
      <xdr:colOff>228600</xdr:colOff>
      <xdr:row>24</xdr:row>
      <xdr:rowOff>152400</xdr:rowOff>
    </xdr:to>
    <xdr:sp>
      <xdr:nvSpPr>
        <xdr:cNvPr id="42" name="Line 52"/>
        <xdr:cNvSpPr>
          <a:spLocks/>
        </xdr:cNvSpPr>
      </xdr:nvSpPr>
      <xdr:spPr>
        <a:xfrm>
          <a:off x="647700" y="4848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33</xdr:row>
      <xdr:rowOff>28575</xdr:rowOff>
    </xdr:from>
    <xdr:to>
      <xdr:col>19</xdr:col>
      <xdr:colOff>9525</xdr:colOff>
      <xdr:row>33</xdr:row>
      <xdr:rowOff>28575</xdr:rowOff>
    </xdr:to>
    <xdr:sp>
      <xdr:nvSpPr>
        <xdr:cNvPr id="43" name="Line 53"/>
        <xdr:cNvSpPr>
          <a:spLocks/>
        </xdr:cNvSpPr>
      </xdr:nvSpPr>
      <xdr:spPr>
        <a:xfrm>
          <a:off x="4152900" y="851535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33</xdr:row>
      <xdr:rowOff>104775</xdr:rowOff>
    </xdr:from>
    <xdr:to>
      <xdr:col>17</xdr:col>
      <xdr:colOff>28575</xdr:colOff>
      <xdr:row>34</xdr:row>
      <xdr:rowOff>114300</xdr:rowOff>
    </xdr:to>
    <xdr:sp>
      <xdr:nvSpPr>
        <xdr:cNvPr id="44" name="Line 81"/>
        <xdr:cNvSpPr>
          <a:spLocks/>
        </xdr:cNvSpPr>
      </xdr:nvSpPr>
      <xdr:spPr>
        <a:xfrm>
          <a:off x="5210175" y="85915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34</xdr:row>
      <xdr:rowOff>123825</xdr:rowOff>
    </xdr:from>
    <xdr:to>
      <xdr:col>17</xdr:col>
      <xdr:colOff>257175</xdr:colOff>
      <xdr:row>34</xdr:row>
      <xdr:rowOff>123825</xdr:rowOff>
    </xdr:to>
    <xdr:sp>
      <xdr:nvSpPr>
        <xdr:cNvPr id="45" name="Line 82"/>
        <xdr:cNvSpPr>
          <a:spLocks/>
        </xdr:cNvSpPr>
      </xdr:nvSpPr>
      <xdr:spPr>
        <a:xfrm>
          <a:off x="5210175" y="88011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247650</xdr:colOff>
      <xdr:row>33</xdr:row>
      <xdr:rowOff>114300</xdr:rowOff>
    </xdr:from>
    <xdr:to>
      <xdr:col>17</xdr:col>
      <xdr:colOff>247650</xdr:colOff>
      <xdr:row>34</xdr:row>
      <xdr:rowOff>123825</xdr:rowOff>
    </xdr:to>
    <xdr:sp>
      <xdr:nvSpPr>
        <xdr:cNvPr id="46" name="Line 83"/>
        <xdr:cNvSpPr>
          <a:spLocks/>
        </xdr:cNvSpPr>
      </xdr:nvSpPr>
      <xdr:spPr>
        <a:xfrm>
          <a:off x="5429250" y="86010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33</xdr:row>
      <xdr:rowOff>114300</xdr:rowOff>
    </xdr:from>
    <xdr:to>
      <xdr:col>17</xdr:col>
      <xdr:colOff>247650</xdr:colOff>
      <xdr:row>33</xdr:row>
      <xdr:rowOff>114300</xdr:rowOff>
    </xdr:to>
    <xdr:sp>
      <xdr:nvSpPr>
        <xdr:cNvPr id="47" name="Line 84"/>
        <xdr:cNvSpPr>
          <a:spLocks/>
        </xdr:cNvSpPr>
      </xdr:nvSpPr>
      <xdr:spPr>
        <a:xfrm>
          <a:off x="5200650" y="86010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24</xdr:row>
      <xdr:rowOff>161925</xdr:rowOff>
    </xdr:from>
    <xdr:to>
      <xdr:col>6</xdr:col>
      <xdr:colOff>276225</xdr:colOff>
      <xdr:row>25</xdr:row>
      <xdr:rowOff>19050</xdr:rowOff>
    </xdr:to>
    <xdr:sp>
      <xdr:nvSpPr>
        <xdr:cNvPr id="48" name="Oval 85"/>
        <xdr:cNvSpPr>
          <a:spLocks/>
        </xdr:cNvSpPr>
      </xdr:nvSpPr>
      <xdr:spPr>
        <a:xfrm>
          <a:off x="2066925" y="48577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25</xdr:row>
      <xdr:rowOff>142875</xdr:rowOff>
    </xdr:from>
    <xdr:to>
      <xdr:col>7</xdr:col>
      <xdr:colOff>276225</xdr:colOff>
      <xdr:row>26</xdr:row>
      <xdr:rowOff>0</xdr:rowOff>
    </xdr:to>
    <xdr:sp>
      <xdr:nvSpPr>
        <xdr:cNvPr id="49" name="Oval 86"/>
        <xdr:cNvSpPr>
          <a:spLocks/>
        </xdr:cNvSpPr>
      </xdr:nvSpPr>
      <xdr:spPr>
        <a:xfrm>
          <a:off x="2371725" y="50292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26</xdr:row>
      <xdr:rowOff>142875</xdr:rowOff>
    </xdr:from>
    <xdr:to>
      <xdr:col>8</xdr:col>
      <xdr:colOff>276225</xdr:colOff>
      <xdr:row>27</xdr:row>
      <xdr:rowOff>0</xdr:rowOff>
    </xdr:to>
    <xdr:sp>
      <xdr:nvSpPr>
        <xdr:cNvPr id="50" name="Oval 87"/>
        <xdr:cNvSpPr>
          <a:spLocks/>
        </xdr:cNvSpPr>
      </xdr:nvSpPr>
      <xdr:spPr>
        <a:xfrm>
          <a:off x="2676525" y="52197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27</xdr:row>
      <xdr:rowOff>1704975</xdr:rowOff>
    </xdr:from>
    <xdr:to>
      <xdr:col>9</xdr:col>
      <xdr:colOff>276225</xdr:colOff>
      <xdr:row>28</xdr:row>
      <xdr:rowOff>0</xdr:rowOff>
    </xdr:to>
    <xdr:sp>
      <xdr:nvSpPr>
        <xdr:cNvPr id="51" name="Oval 88"/>
        <xdr:cNvSpPr>
          <a:spLocks/>
        </xdr:cNvSpPr>
      </xdr:nvSpPr>
      <xdr:spPr>
        <a:xfrm>
          <a:off x="2981325" y="6972300"/>
          <a:ext cx="38100" cy="5619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28</xdr:row>
      <xdr:rowOff>133350</xdr:rowOff>
    </xdr:from>
    <xdr:to>
      <xdr:col>10</xdr:col>
      <xdr:colOff>266700</xdr:colOff>
      <xdr:row>28</xdr:row>
      <xdr:rowOff>180975</xdr:rowOff>
    </xdr:to>
    <xdr:sp>
      <xdr:nvSpPr>
        <xdr:cNvPr id="52" name="Oval 89"/>
        <xdr:cNvSpPr>
          <a:spLocks/>
        </xdr:cNvSpPr>
      </xdr:nvSpPr>
      <xdr:spPr>
        <a:xfrm>
          <a:off x="3276600" y="76676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152400</xdr:rowOff>
    </xdr:from>
    <xdr:to>
      <xdr:col>5</xdr:col>
      <xdr:colOff>276225</xdr:colOff>
      <xdr:row>24</xdr:row>
      <xdr:rowOff>9525</xdr:rowOff>
    </xdr:to>
    <xdr:sp>
      <xdr:nvSpPr>
        <xdr:cNvPr id="53" name="Oval 90"/>
        <xdr:cNvSpPr>
          <a:spLocks/>
        </xdr:cNvSpPr>
      </xdr:nvSpPr>
      <xdr:spPr>
        <a:xfrm>
          <a:off x="1762125" y="46577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29</xdr:row>
      <xdr:rowOff>133350</xdr:rowOff>
    </xdr:from>
    <xdr:to>
      <xdr:col>11</xdr:col>
      <xdr:colOff>276225</xdr:colOff>
      <xdr:row>29</xdr:row>
      <xdr:rowOff>180975</xdr:rowOff>
    </xdr:to>
    <xdr:sp>
      <xdr:nvSpPr>
        <xdr:cNvPr id="54" name="Oval 91"/>
        <xdr:cNvSpPr>
          <a:spLocks/>
        </xdr:cNvSpPr>
      </xdr:nvSpPr>
      <xdr:spPr>
        <a:xfrm>
          <a:off x="3590925" y="78581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30</xdr:row>
      <xdr:rowOff>142875</xdr:rowOff>
    </xdr:from>
    <xdr:to>
      <xdr:col>12</xdr:col>
      <xdr:colOff>276225</xdr:colOff>
      <xdr:row>31</xdr:row>
      <xdr:rowOff>0</xdr:rowOff>
    </xdr:to>
    <xdr:sp>
      <xdr:nvSpPr>
        <xdr:cNvPr id="55" name="Oval 92"/>
        <xdr:cNvSpPr>
          <a:spLocks/>
        </xdr:cNvSpPr>
      </xdr:nvSpPr>
      <xdr:spPr>
        <a:xfrm>
          <a:off x="3895725" y="80581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31</xdr:row>
      <xdr:rowOff>142875</xdr:rowOff>
    </xdr:from>
    <xdr:to>
      <xdr:col>13</xdr:col>
      <xdr:colOff>276225</xdr:colOff>
      <xdr:row>32</xdr:row>
      <xdr:rowOff>0</xdr:rowOff>
    </xdr:to>
    <xdr:sp>
      <xdr:nvSpPr>
        <xdr:cNvPr id="56" name="Oval 93"/>
        <xdr:cNvSpPr>
          <a:spLocks/>
        </xdr:cNvSpPr>
      </xdr:nvSpPr>
      <xdr:spPr>
        <a:xfrm>
          <a:off x="4200525" y="82486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32</xdr:row>
      <xdr:rowOff>142875</xdr:rowOff>
    </xdr:from>
    <xdr:to>
      <xdr:col>14</xdr:col>
      <xdr:colOff>276225</xdr:colOff>
      <xdr:row>33</xdr:row>
      <xdr:rowOff>0</xdr:rowOff>
    </xdr:to>
    <xdr:sp>
      <xdr:nvSpPr>
        <xdr:cNvPr id="57" name="Oval 94"/>
        <xdr:cNvSpPr>
          <a:spLocks/>
        </xdr:cNvSpPr>
      </xdr:nvSpPr>
      <xdr:spPr>
        <a:xfrm>
          <a:off x="4505325" y="84391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33</xdr:row>
      <xdr:rowOff>47625</xdr:rowOff>
    </xdr:from>
    <xdr:to>
      <xdr:col>15</xdr:col>
      <xdr:colOff>85725</xdr:colOff>
      <xdr:row>33</xdr:row>
      <xdr:rowOff>95250</xdr:rowOff>
    </xdr:to>
    <xdr:sp>
      <xdr:nvSpPr>
        <xdr:cNvPr id="58" name="Oval 95"/>
        <xdr:cNvSpPr>
          <a:spLocks/>
        </xdr:cNvSpPr>
      </xdr:nvSpPr>
      <xdr:spPr>
        <a:xfrm>
          <a:off x="4619625" y="85344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33</xdr:row>
      <xdr:rowOff>38100</xdr:rowOff>
    </xdr:from>
    <xdr:to>
      <xdr:col>17</xdr:col>
      <xdr:colOff>28575</xdr:colOff>
      <xdr:row>33</xdr:row>
      <xdr:rowOff>85725</xdr:rowOff>
    </xdr:to>
    <xdr:sp>
      <xdr:nvSpPr>
        <xdr:cNvPr id="59" name="Oval 96"/>
        <xdr:cNvSpPr>
          <a:spLocks/>
        </xdr:cNvSpPr>
      </xdr:nvSpPr>
      <xdr:spPr>
        <a:xfrm>
          <a:off x="5172075" y="85248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34</xdr:row>
      <xdr:rowOff>66675</xdr:rowOff>
    </xdr:from>
    <xdr:to>
      <xdr:col>17</xdr:col>
      <xdr:colOff>76200</xdr:colOff>
      <xdr:row>34</xdr:row>
      <xdr:rowOff>114300</xdr:rowOff>
    </xdr:to>
    <xdr:sp>
      <xdr:nvSpPr>
        <xdr:cNvPr id="60" name="Oval 97"/>
        <xdr:cNvSpPr>
          <a:spLocks/>
        </xdr:cNvSpPr>
      </xdr:nvSpPr>
      <xdr:spPr>
        <a:xfrm>
          <a:off x="5219700" y="87439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33</xdr:row>
      <xdr:rowOff>123825</xdr:rowOff>
    </xdr:from>
    <xdr:to>
      <xdr:col>17</xdr:col>
      <xdr:colOff>238125</xdr:colOff>
      <xdr:row>33</xdr:row>
      <xdr:rowOff>171450</xdr:rowOff>
    </xdr:to>
    <xdr:sp>
      <xdr:nvSpPr>
        <xdr:cNvPr id="61" name="Oval 98"/>
        <xdr:cNvSpPr>
          <a:spLocks/>
        </xdr:cNvSpPr>
      </xdr:nvSpPr>
      <xdr:spPr>
        <a:xfrm>
          <a:off x="5381625" y="86106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33</xdr:row>
      <xdr:rowOff>133350</xdr:rowOff>
    </xdr:from>
    <xdr:to>
      <xdr:col>17</xdr:col>
      <xdr:colOff>85725</xdr:colOff>
      <xdr:row>33</xdr:row>
      <xdr:rowOff>180975</xdr:rowOff>
    </xdr:to>
    <xdr:sp>
      <xdr:nvSpPr>
        <xdr:cNvPr id="62" name="Oval 99"/>
        <xdr:cNvSpPr>
          <a:spLocks/>
        </xdr:cNvSpPr>
      </xdr:nvSpPr>
      <xdr:spPr>
        <a:xfrm>
          <a:off x="5229225" y="86201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33</xdr:row>
      <xdr:rowOff>38100</xdr:rowOff>
    </xdr:from>
    <xdr:to>
      <xdr:col>18</xdr:col>
      <xdr:colOff>295275</xdr:colOff>
      <xdr:row>33</xdr:row>
      <xdr:rowOff>85725</xdr:rowOff>
    </xdr:to>
    <xdr:sp>
      <xdr:nvSpPr>
        <xdr:cNvPr id="63" name="Oval 100"/>
        <xdr:cNvSpPr>
          <a:spLocks/>
        </xdr:cNvSpPr>
      </xdr:nvSpPr>
      <xdr:spPr>
        <a:xfrm>
          <a:off x="5743575" y="85248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285750</xdr:colOff>
      <xdr:row>33</xdr:row>
      <xdr:rowOff>38100</xdr:rowOff>
    </xdr:from>
    <xdr:to>
      <xdr:col>18</xdr:col>
      <xdr:colOff>19050</xdr:colOff>
      <xdr:row>33</xdr:row>
      <xdr:rowOff>85725</xdr:rowOff>
    </xdr:to>
    <xdr:sp>
      <xdr:nvSpPr>
        <xdr:cNvPr id="64" name="Oval 101"/>
        <xdr:cNvSpPr>
          <a:spLocks/>
        </xdr:cNvSpPr>
      </xdr:nvSpPr>
      <xdr:spPr>
        <a:xfrm>
          <a:off x="5467350" y="85248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38100</xdr:rowOff>
    </xdr:from>
    <xdr:to>
      <xdr:col>16</xdr:col>
      <xdr:colOff>38100</xdr:colOff>
      <xdr:row>33</xdr:row>
      <xdr:rowOff>85725</xdr:rowOff>
    </xdr:to>
    <xdr:sp>
      <xdr:nvSpPr>
        <xdr:cNvPr id="65" name="Oval 102"/>
        <xdr:cNvSpPr>
          <a:spLocks/>
        </xdr:cNvSpPr>
      </xdr:nvSpPr>
      <xdr:spPr>
        <a:xfrm>
          <a:off x="4876800" y="85248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34</xdr:row>
      <xdr:rowOff>76200</xdr:rowOff>
    </xdr:from>
    <xdr:to>
      <xdr:col>17</xdr:col>
      <xdr:colOff>161925</xdr:colOff>
      <xdr:row>34</xdr:row>
      <xdr:rowOff>123825</xdr:rowOff>
    </xdr:to>
    <xdr:sp>
      <xdr:nvSpPr>
        <xdr:cNvPr id="66" name="Oval 103"/>
        <xdr:cNvSpPr>
          <a:spLocks/>
        </xdr:cNvSpPr>
      </xdr:nvSpPr>
      <xdr:spPr>
        <a:xfrm>
          <a:off x="5305425" y="87534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34</xdr:row>
      <xdr:rowOff>66675</xdr:rowOff>
    </xdr:from>
    <xdr:to>
      <xdr:col>17</xdr:col>
      <xdr:colOff>247650</xdr:colOff>
      <xdr:row>34</xdr:row>
      <xdr:rowOff>114300</xdr:rowOff>
    </xdr:to>
    <xdr:sp>
      <xdr:nvSpPr>
        <xdr:cNvPr id="67" name="Oval 104"/>
        <xdr:cNvSpPr>
          <a:spLocks/>
        </xdr:cNvSpPr>
      </xdr:nvSpPr>
      <xdr:spPr>
        <a:xfrm>
          <a:off x="5391150" y="87439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68" name="Line 105"/>
        <xdr:cNvSpPr>
          <a:spLocks/>
        </xdr:cNvSpPr>
      </xdr:nvSpPr>
      <xdr:spPr>
        <a:xfrm flipH="1" flipV="1">
          <a:off x="582930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>
      <xdr:nvSpPr>
        <xdr:cNvPr id="69" name="Line 106"/>
        <xdr:cNvSpPr>
          <a:spLocks/>
        </xdr:cNvSpPr>
      </xdr:nvSpPr>
      <xdr:spPr>
        <a:xfrm>
          <a:off x="1524000" y="10201275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19050</xdr:rowOff>
    </xdr:from>
    <xdr:to>
      <xdr:col>9</xdr:col>
      <xdr:colOff>0</xdr:colOff>
      <xdr:row>48</xdr:row>
      <xdr:rowOff>180975</xdr:rowOff>
    </xdr:to>
    <xdr:sp>
      <xdr:nvSpPr>
        <xdr:cNvPr id="70" name="Line 107"/>
        <xdr:cNvSpPr>
          <a:spLocks/>
        </xdr:cNvSpPr>
      </xdr:nvSpPr>
      <xdr:spPr>
        <a:xfrm>
          <a:off x="2743200" y="1060132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180975</xdr:rowOff>
    </xdr:from>
    <xdr:to>
      <xdr:col>12</xdr:col>
      <xdr:colOff>0</xdr:colOff>
      <xdr:row>49</xdr:row>
      <xdr:rowOff>9525</xdr:rowOff>
    </xdr:to>
    <xdr:sp>
      <xdr:nvSpPr>
        <xdr:cNvPr id="71" name="Line 108"/>
        <xdr:cNvSpPr>
          <a:spLocks/>
        </xdr:cNvSpPr>
      </xdr:nvSpPr>
      <xdr:spPr>
        <a:xfrm>
          <a:off x="3657600" y="105727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72" name="Line 109"/>
        <xdr:cNvSpPr>
          <a:spLocks/>
        </xdr:cNvSpPr>
      </xdr:nvSpPr>
      <xdr:spPr>
        <a:xfrm>
          <a:off x="1514475" y="105822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16</xdr:col>
      <xdr:colOff>28575</xdr:colOff>
      <xdr:row>44</xdr:row>
      <xdr:rowOff>0</xdr:rowOff>
    </xdr:to>
    <xdr:sp>
      <xdr:nvSpPr>
        <xdr:cNvPr id="73" name="Line 110"/>
        <xdr:cNvSpPr>
          <a:spLocks/>
        </xdr:cNvSpPr>
      </xdr:nvSpPr>
      <xdr:spPr>
        <a:xfrm>
          <a:off x="3657600" y="105822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42</xdr:row>
      <xdr:rowOff>0</xdr:rowOff>
    </xdr:from>
    <xdr:to>
      <xdr:col>4</xdr:col>
      <xdr:colOff>295275</xdr:colOff>
      <xdr:row>44</xdr:row>
      <xdr:rowOff>19050</xdr:rowOff>
    </xdr:to>
    <xdr:sp>
      <xdr:nvSpPr>
        <xdr:cNvPr id="74" name="Line 111"/>
        <xdr:cNvSpPr>
          <a:spLocks/>
        </xdr:cNvSpPr>
      </xdr:nvSpPr>
      <xdr:spPr>
        <a:xfrm>
          <a:off x="1514475" y="102012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42</xdr:row>
      <xdr:rowOff>0</xdr:rowOff>
    </xdr:from>
    <xdr:to>
      <xdr:col>16</xdr:col>
      <xdr:colOff>9525</xdr:colOff>
      <xdr:row>44</xdr:row>
      <xdr:rowOff>9525</xdr:rowOff>
    </xdr:to>
    <xdr:sp>
      <xdr:nvSpPr>
        <xdr:cNvPr id="75" name="Line 112"/>
        <xdr:cNvSpPr>
          <a:spLocks/>
        </xdr:cNvSpPr>
      </xdr:nvSpPr>
      <xdr:spPr>
        <a:xfrm>
          <a:off x="4886325" y="102012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12</xdr:col>
      <xdr:colOff>9525</xdr:colOff>
      <xdr:row>49</xdr:row>
      <xdr:rowOff>0</xdr:rowOff>
    </xdr:to>
    <xdr:sp>
      <xdr:nvSpPr>
        <xdr:cNvPr id="76" name="Line 113"/>
        <xdr:cNvSpPr>
          <a:spLocks/>
        </xdr:cNvSpPr>
      </xdr:nvSpPr>
      <xdr:spPr>
        <a:xfrm>
          <a:off x="2743200" y="115347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42</xdr:row>
      <xdr:rowOff>76200</xdr:rowOff>
    </xdr:from>
    <xdr:to>
      <xdr:col>9</xdr:col>
      <xdr:colOff>76200</xdr:colOff>
      <xdr:row>48</xdr:row>
      <xdr:rowOff>104775</xdr:rowOff>
    </xdr:to>
    <xdr:sp>
      <xdr:nvSpPr>
        <xdr:cNvPr id="77" name="Line 114"/>
        <xdr:cNvSpPr>
          <a:spLocks/>
        </xdr:cNvSpPr>
      </xdr:nvSpPr>
      <xdr:spPr>
        <a:xfrm>
          <a:off x="2819400" y="1027747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42</xdr:row>
      <xdr:rowOff>66675</xdr:rowOff>
    </xdr:from>
    <xdr:to>
      <xdr:col>11</xdr:col>
      <xdr:colOff>209550</xdr:colOff>
      <xdr:row>48</xdr:row>
      <xdr:rowOff>95250</xdr:rowOff>
    </xdr:to>
    <xdr:sp>
      <xdr:nvSpPr>
        <xdr:cNvPr id="78" name="Line 115"/>
        <xdr:cNvSpPr>
          <a:spLocks/>
        </xdr:cNvSpPr>
      </xdr:nvSpPr>
      <xdr:spPr>
        <a:xfrm>
          <a:off x="3562350" y="102679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42</xdr:row>
      <xdr:rowOff>76200</xdr:rowOff>
    </xdr:from>
    <xdr:to>
      <xdr:col>11</xdr:col>
      <xdr:colOff>209550</xdr:colOff>
      <xdr:row>42</xdr:row>
      <xdr:rowOff>76200</xdr:rowOff>
    </xdr:to>
    <xdr:sp>
      <xdr:nvSpPr>
        <xdr:cNvPr id="79" name="Line 116"/>
        <xdr:cNvSpPr>
          <a:spLocks/>
        </xdr:cNvSpPr>
      </xdr:nvSpPr>
      <xdr:spPr>
        <a:xfrm>
          <a:off x="2819400" y="102774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48</xdr:row>
      <xdr:rowOff>114300</xdr:rowOff>
    </xdr:from>
    <xdr:to>
      <xdr:col>11</xdr:col>
      <xdr:colOff>219075</xdr:colOff>
      <xdr:row>48</xdr:row>
      <xdr:rowOff>114300</xdr:rowOff>
    </xdr:to>
    <xdr:sp>
      <xdr:nvSpPr>
        <xdr:cNvPr id="80" name="Line 117"/>
        <xdr:cNvSpPr>
          <a:spLocks/>
        </xdr:cNvSpPr>
      </xdr:nvSpPr>
      <xdr:spPr>
        <a:xfrm>
          <a:off x="2828925" y="114585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42</xdr:row>
      <xdr:rowOff>104775</xdr:rowOff>
    </xdr:from>
    <xdr:to>
      <xdr:col>9</xdr:col>
      <xdr:colOff>152400</xdr:colOff>
      <xdr:row>42</xdr:row>
      <xdr:rowOff>152400</xdr:rowOff>
    </xdr:to>
    <xdr:sp>
      <xdr:nvSpPr>
        <xdr:cNvPr id="81" name="Oval 118"/>
        <xdr:cNvSpPr>
          <a:spLocks/>
        </xdr:cNvSpPr>
      </xdr:nvSpPr>
      <xdr:spPr>
        <a:xfrm>
          <a:off x="2857500" y="103060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42</xdr:row>
      <xdr:rowOff>95250</xdr:rowOff>
    </xdr:from>
    <xdr:to>
      <xdr:col>11</xdr:col>
      <xdr:colOff>190500</xdr:colOff>
      <xdr:row>42</xdr:row>
      <xdr:rowOff>142875</xdr:rowOff>
    </xdr:to>
    <xdr:sp>
      <xdr:nvSpPr>
        <xdr:cNvPr id="82" name="Oval 119"/>
        <xdr:cNvSpPr>
          <a:spLocks/>
        </xdr:cNvSpPr>
      </xdr:nvSpPr>
      <xdr:spPr>
        <a:xfrm>
          <a:off x="3505200" y="102965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48</xdr:row>
      <xdr:rowOff>38100</xdr:rowOff>
    </xdr:from>
    <xdr:to>
      <xdr:col>9</xdr:col>
      <xdr:colOff>142875</xdr:colOff>
      <xdr:row>48</xdr:row>
      <xdr:rowOff>85725</xdr:rowOff>
    </xdr:to>
    <xdr:sp>
      <xdr:nvSpPr>
        <xdr:cNvPr id="83" name="Oval 120"/>
        <xdr:cNvSpPr>
          <a:spLocks/>
        </xdr:cNvSpPr>
      </xdr:nvSpPr>
      <xdr:spPr>
        <a:xfrm>
          <a:off x="2847975" y="113823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47625</xdr:rowOff>
    </xdr:from>
    <xdr:to>
      <xdr:col>10</xdr:col>
      <xdr:colOff>47625</xdr:colOff>
      <xdr:row>48</xdr:row>
      <xdr:rowOff>95250</xdr:rowOff>
    </xdr:to>
    <xdr:sp>
      <xdr:nvSpPr>
        <xdr:cNvPr id="84" name="Oval 121"/>
        <xdr:cNvSpPr>
          <a:spLocks/>
        </xdr:cNvSpPr>
      </xdr:nvSpPr>
      <xdr:spPr>
        <a:xfrm>
          <a:off x="3057525" y="113919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48</xdr:row>
      <xdr:rowOff>47625</xdr:rowOff>
    </xdr:from>
    <xdr:to>
      <xdr:col>10</xdr:col>
      <xdr:colOff>295275</xdr:colOff>
      <xdr:row>48</xdr:row>
      <xdr:rowOff>95250</xdr:rowOff>
    </xdr:to>
    <xdr:sp>
      <xdr:nvSpPr>
        <xdr:cNvPr id="85" name="Oval 122"/>
        <xdr:cNvSpPr>
          <a:spLocks/>
        </xdr:cNvSpPr>
      </xdr:nvSpPr>
      <xdr:spPr>
        <a:xfrm>
          <a:off x="3305175" y="113919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48</xdr:row>
      <xdr:rowOff>47625</xdr:rowOff>
    </xdr:from>
    <xdr:to>
      <xdr:col>11</xdr:col>
      <xdr:colOff>190500</xdr:colOff>
      <xdr:row>48</xdr:row>
      <xdr:rowOff>95250</xdr:rowOff>
    </xdr:to>
    <xdr:sp>
      <xdr:nvSpPr>
        <xdr:cNvPr id="86" name="Oval 123"/>
        <xdr:cNvSpPr>
          <a:spLocks/>
        </xdr:cNvSpPr>
      </xdr:nvSpPr>
      <xdr:spPr>
        <a:xfrm>
          <a:off x="3505200" y="113919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42</xdr:row>
      <xdr:rowOff>47625</xdr:rowOff>
    </xdr:from>
    <xdr:to>
      <xdr:col>5</xdr:col>
      <xdr:colOff>76200</xdr:colOff>
      <xdr:row>42</xdr:row>
      <xdr:rowOff>95250</xdr:rowOff>
    </xdr:to>
    <xdr:sp>
      <xdr:nvSpPr>
        <xdr:cNvPr id="87" name="Oval 124"/>
        <xdr:cNvSpPr>
          <a:spLocks/>
        </xdr:cNvSpPr>
      </xdr:nvSpPr>
      <xdr:spPr>
        <a:xfrm>
          <a:off x="1562100" y="102489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42</xdr:row>
      <xdr:rowOff>57150</xdr:rowOff>
    </xdr:from>
    <xdr:to>
      <xdr:col>7</xdr:col>
      <xdr:colOff>9525</xdr:colOff>
      <xdr:row>42</xdr:row>
      <xdr:rowOff>104775</xdr:rowOff>
    </xdr:to>
    <xdr:sp>
      <xdr:nvSpPr>
        <xdr:cNvPr id="88" name="Oval 125"/>
        <xdr:cNvSpPr>
          <a:spLocks/>
        </xdr:cNvSpPr>
      </xdr:nvSpPr>
      <xdr:spPr>
        <a:xfrm>
          <a:off x="2105025" y="102584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42</xdr:row>
      <xdr:rowOff>57150</xdr:rowOff>
    </xdr:from>
    <xdr:to>
      <xdr:col>8</xdr:col>
      <xdr:colOff>295275</xdr:colOff>
      <xdr:row>42</xdr:row>
      <xdr:rowOff>104775</xdr:rowOff>
    </xdr:to>
    <xdr:sp>
      <xdr:nvSpPr>
        <xdr:cNvPr id="89" name="Oval 126"/>
        <xdr:cNvSpPr>
          <a:spLocks/>
        </xdr:cNvSpPr>
      </xdr:nvSpPr>
      <xdr:spPr>
        <a:xfrm>
          <a:off x="2695575" y="102584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42</xdr:row>
      <xdr:rowOff>57150</xdr:rowOff>
    </xdr:from>
    <xdr:to>
      <xdr:col>12</xdr:col>
      <xdr:colOff>38100</xdr:colOff>
      <xdr:row>42</xdr:row>
      <xdr:rowOff>104775</xdr:rowOff>
    </xdr:to>
    <xdr:sp>
      <xdr:nvSpPr>
        <xdr:cNvPr id="90" name="Oval 127"/>
        <xdr:cNvSpPr>
          <a:spLocks/>
        </xdr:cNvSpPr>
      </xdr:nvSpPr>
      <xdr:spPr>
        <a:xfrm>
          <a:off x="3657600" y="102584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42</xdr:row>
      <xdr:rowOff>66675</xdr:rowOff>
    </xdr:from>
    <xdr:to>
      <xdr:col>14</xdr:col>
      <xdr:colOff>57150</xdr:colOff>
      <xdr:row>42</xdr:row>
      <xdr:rowOff>114300</xdr:rowOff>
    </xdr:to>
    <xdr:sp>
      <xdr:nvSpPr>
        <xdr:cNvPr id="91" name="Oval 128"/>
        <xdr:cNvSpPr>
          <a:spLocks/>
        </xdr:cNvSpPr>
      </xdr:nvSpPr>
      <xdr:spPr>
        <a:xfrm>
          <a:off x="4286250" y="102679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42</xdr:row>
      <xdr:rowOff>47625</xdr:rowOff>
    </xdr:from>
    <xdr:to>
      <xdr:col>15</xdr:col>
      <xdr:colOff>276225</xdr:colOff>
      <xdr:row>42</xdr:row>
      <xdr:rowOff>47625</xdr:rowOff>
    </xdr:to>
    <xdr:sp>
      <xdr:nvSpPr>
        <xdr:cNvPr id="92" name="Line 129"/>
        <xdr:cNvSpPr>
          <a:spLocks/>
        </xdr:cNvSpPr>
      </xdr:nvSpPr>
      <xdr:spPr>
        <a:xfrm>
          <a:off x="1562100" y="1024890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42</xdr:row>
      <xdr:rowOff>66675</xdr:rowOff>
    </xdr:from>
    <xdr:to>
      <xdr:col>15</xdr:col>
      <xdr:colOff>266700</xdr:colOff>
      <xdr:row>42</xdr:row>
      <xdr:rowOff>114300</xdr:rowOff>
    </xdr:to>
    <xdr:sp>
      <xdr:nvSpPr>
        <xdr:cNvPr id="93" name="Oval 130"/>
        <xdr:cNvSpPr>
          <a:spLocks/>
        </xdr:cNvSpPr>
      </xdr:nvSpPr>
      <xdr:spPr>
        <a:xfrm>
          <a:off x="4800600" y="102679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49</xdr:row>
      <xdr:rowOff>95250</xdr:rowOff>
    </xdr:from>
    <xdr:to>
      <xdr:col>12</xdr:col>
      <xdr:colOff>19050</xdr:colOff>
      <xdr:row>49</xdr:row>
      <xdr:rowOff>95250</xdr:rowOff>
    </xdr:to>
    <xdr:sp>
      <xdr:nvSpPr>
        <xdr:cNvPr id="94" name="Line 131"/>
        <xdr:cNvSpPr>
          <a:spLocks/>
        </xdr:cNvSpPr>
      </xdr:nvSpPr>
      <xdr:spPr>
        <a:xfrm>
          <a:off x="3352800" y="116300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104775</xdr:rowOff>
    </xdr:from>
    <xdr:to>
      <xdr:col>9</xdr:col>
      <xdr:colOff>285750</xdr:colOff>
      <xdr:row>49</xdr:row>
      <xdr:rowOff>104775</xdr:rowOff>
    </xdr:to>
    <xdr:sp>
      <xdr:nvSpPr>
        <xdr:cNvPr id="95" name="Line 132"/>
        <xdr:cNvSpPr>
          <a:spLocks/>
        </xdr:cNvSpPr>
      </xdr:nvSpPr>
      <xdr:spPr>
        <a:xfrm flipH="1">
          <a:off x="2743200" y="116395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40</xdr:row>
      <xdr:rowOff>133350</xdr:rowOff>
    </xdr:from>
    <xdr:to>
      <xdr:col>5</xdr:col>
      <xdr:colOff>228600</xdr:colOff>
      <xdr:row>42</xdr:row>
      <xdr:rowOff>57150</xdr:rowOff>
    </xdr:to>
    <xdr:sp>
      <xdr:nvSpPr>
        <xdr:cNvPr id="96" name="Line 133"/>
        <xdr:cNvSpPr>
          <a:spLocks/>
        </xdr:cNvSpPr>
      </xdr:nvSpPr>
      <xdr:spPr>
        <a:xfrm>
          <a:off x="1752600" y="99536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40</xdr:row>
      <xdr:rowOff>123825</xdr:rowOff>
    </xdr:from>
    <xdr:to>
      <xdr:col>6</xdr:col>
      <xdr:colOff>9525</xdr:colOff>
      <xdr:row>40</xdr:row>
      <xdr:rowOff>123825</xdr:rowOff>
    </xdr:to>
    <xdr:sp>
      <xdr:nvSpPr>
        <xdr:cNvPr id="97" name="Line 134"/>
        <xdr:cNvSpPr>
          <a:spLocks/>
        </xdr:cNvSpPr>
      </xdr:nvSpPr>
      <xdr:spPr>
        <a:xfrm>
          <a:off x="1752600" y="9944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42</xdr:row>
      <xdr:rowOff>85725</xdr:rowOff>
    </xdr:from>
    <xdr:to>
      <xdr:col>6</xdr:col>
      <xdr:colOff>285750</xdr:colOff>
      <xdr:row>43</xdr:row>
      <xdr:rowOff>57150</xdr:rowOff>
    </xdr:to>
    <xdr:sp>
      <xdr:nvSpPr>
        <xdr:cNvPr id="98" name="Line 135"/>
        <xdr:cNvSpPr>
          <a:spLocks/>
        </xdr:cNvSpPr>
      </xdr:nvSpPr>
      <xdr:spPr>
        <a:xfrm flipV="1">
          <a:off x="2114550" y="10287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43</xdr:row>
      <xdr:rowOff>57150</xdr:rowOff>
    </xdr:from>
    <xdr:to>
      <xdr:col>7</xdr:col>
      <xdr:colOff>180975</xdr:colOff>
      <xdr:row>43</xdr:row>
      <xdr:rowOff>57150</xdr:rowOff>
    </xdr:to>
    <xdr:sp>
      <xdr:nvSpPr>
        <xdr:cNvPr id="99" name="Line 136"/>
        <xdr:cNvSpPr>
          <a:spLocks/>
        </xdr:cNvSpPr>
      </xdr:nvSpPr>
      <xdr:spPr>
        <a:xfrm flipH="1">
          <a:off x="2114550" y="104489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44</xdr:row>
      <xdr:rowOff>104775</xdr:rowOff>
    </xdr:from>
    <xdr:to>
      <xdr:col>12</xdr:col>
      <xdr:colOff>47625</xdr:colOff>
      <xdr:row>44</xdr:row>
      <xdr:rowOff>104775</xdr:rowOff>
    </xdr:to>
    <xdr:sp>
      <xdr:nvSpPr>
        <xdr:cNvPr id="100" name="Line 139"/>
        <xdr:cNvSpPr>
          <a:spLocks/>
        </xdr:cNvSpPr>
      </xdr:nvSpPr>
      <xdr:spPr>
        <a:xfrm flipH="1">
          <a:off x="3171825" y="10687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42</xdr:row>
      <xdr:rowOff>133350</xdr:rowOff>
    </xdr:from>
    <xdr:to>
      <xdr:col>10</xdr:col>
      <xdr:colOff>133350</xdr:colOff>
      <xdr:row>44</xdr:row>
      <xdr:rowOff>114300</xdr:rowOff>
    </xdr:to>
    <xdr:sp>
      <xdr:nvSpPr>
        <xdr:cNvPr id="101" name="Line 140"/>
        <xdr:cNvSpPr>
          <a:spLocks/>
        </xdr:cNvSpPr>
      </xdr:nvSpPr>
      <xdr:spPr>
        <a:xfrm flipH="1" flipV="1">
          <a:off x="2876550" y="10334625"/>
          <a:ext cx="3048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42</xdr:row>
      <xdr:rowOff>142875</xdr:rowOff>
    </xdr:from>
    <xdr:to>
      <xdr:col>11</xdr:col>
      <xdr:colOff>152400</xdr:colOff>
      <xdr:row>44</xdr:row>
      <xdr:rowOff>104775</xdr:rowOff>
    </xdr:to>
    <xdr:sp>
      <xdr:nvSpPr>
        <xdr:cNvPr id="102" name="Line 141"/>
        <xdr:cNvSpPr>
          <a:spLocks/>
        </xdr:cNvSpPr>
      </xdr:nvSpPr>
      <xdr:spPr>
        <a:xfrm flipV="1">
          <a:off x="3200400" y="10344150"/>
          <a:ext cx="304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47</xdr:row>
      <xdr:rowOff>104775</xdr:rowOff>
    </xdr:from>
    <xdr:to>
      <xdr:col>12</xdr:col>
      <xdr:colOff>66675</xdr:colOff>
      <xdr:row>47</xdr:row>
      <xdr:rowOff>104775</xdr:rowOff>
    </xdr:to>
    <xdr:sp>
      <xdr:nvSpPr>
        <xdr:cNvPr id="103" name="Line 142"/>
        <xdr:cNvSpPr>
          <a:spLocks/>
        </xdr:cNvSpPr>
      </xdr:nvSpPr>
      <xdr:spPr>
        <a:xfrm flipH="1">
          <a:off x="2962275" y="112585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47</xdr:row>
      <xdr:rowOff>104775</xdr:rowOff>
    </xdr:from>
    <xdr:to>
      <xdr:col>9</xdr:col>
      <xdr:colOff>228600</xdr:colOff>
      <xdr:row>48</xdr:row>
      <xdr:rowOff>38100</xdr:rowOff>
    </xdr:to>
    <xdr:sp>
      <xdr:nvSpPr>
        <xdr:cNvPr id="104" name="Line 143"/>
        <xdr:cNvSpPr>
          <a:spLocks/>
        </xdr:cNvSpPr>
      </xdr:nvSpPr>
      <xdr:spPr>
        <a:xfrm flipH="1">
          <a:off x="2895600" y="11258550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104775</xdr:rowOff>
    </xdr:from>
    <xdr:to>
      <xdr:col>10</xdr:col>
      <xdr:colOff>38100</xdr:colOff>
      <xdr:row>48</xdr:row>
      <xdr:rowOff>57150</xdr:rowOff>
    </xdr:to>
    <xdr:sp>
      <xdr:nvSpPr>
        <xdr:cNvPr id="105" name="Line 144"/>
        <xdr:cNvSpPr>
          <a:spLocks/>
        </xdr:cNvSpPr>
      </xdr:nvSpPr>
      <xdr:spPr>
        <a:xfrm>
          <a:off x="3048000" y="11258550"/>
          <a:ext cx="381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47</xdr:row>
      <xdr:rowOff>114300</xdr:rowOff>
    </xdr:from>
    <xdr:to>
      <xdr:col>10</xdr:col>
      <xdr:colOff>276225</xdr:colOff>
      <xdr:row>48</xdr:row>
      <xdr:rowOff>57150</xdr:rowOff>
    </xdr:to>
    <xdr:sp>
      <xdr:nvSpPr>
        <xdr:cNvPr id="106" name="Line 145"/>
        <xdr:cNvSpPr>
          <a:spLocks/>
        </xdr:cNvSpPr>
      </xdr:nvSpPr>
      <xdr:spPr>
        <a:xfrm>
          <a:off x="3324225" y="112680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47</xdr:row>
      <xdr:rowOff>104775</xdr:rowOff>
    </xdr:from>
    <xdr:to>
      <xdr:col>11</xdr:col>
      <xdr:colOff>171450</xdr:colOff>
      <xdr:row>48</xdr:row>
      <xdr:rowOff>66675</xdr:rowOff>
    </xdr:to>
    <xdr:sp>
      <xdr:nvSpPr>
        <xdr:cNvPr id="107" name="Line 146"/>
        <xdr:cNvSpPr>
          <a:spLocks/>
        </xdr:cNvSpPr>
      </xdr:nvSpPr>
      <xdr:spPr>
        <a:xfrm>
          <a:off x="3495675" y="11258550"/>
          <a:ext cx="285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76200</xdr:rowOff>
    </xdr:from>
    <xdr:to>
      <xdr:col>17</xdr:col>
      <xdr:colOff>0</xdr:colOff>
      <xdr:row>34</xdr:row>
      <xdr:rowOff>133350</xdr:rowOff>
    </xdr:to>
    <xdr:sp>
      <xdr:nvSpPr>
        <xdr:cNvPr id="108" name="Line 148"/>
        <xdr:cNvSpPr>
          <a:spLocks/>
        </xdr:cNvSpPr>
      </xdr:nvSpPr>
      <xdr:spPr>
        <a:xfrm>
          <a:off x="5181600" y="8562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33</xdr:row>
      <xdr:rowOff>85725</xdr:rowOff>
    </xdr:from>
    <xdr:to>
      <xdr:col>16</xdr:col>
      <xdr:colOff>152400</xdr:colOff>
      <xdr:row>34</xdr:row>
      <xdr:rowOff>142875</xdr:rowOff>
    </xdr:to>
    <xdr:sp>
      <xdr:nvSpPr>
        <xdr:cNvPr id="109" name="Line 149"/>
        <xdr:cNvSpPr>
          <a:spLocks/>
        </xdr:cNvSpPr>
      </xdr:nvSpPr>
      <xdr:spPr>
        <a:xfrm>
          <a:off x="5029200" y="8572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85725</xdr:rowOff>
    </xdr:from>
    <xdr:to>
      <xdr:col>16</xdr:col>
      <xdr:colOff>0</xdr:colOff>
      <xdr:row>34</xdr:row>
      <xdr:rowOff>133350</xdr:rowOff>
    </xdr:to>
    <xdr:sp>
      <xdr:nvSpPr>
        <xdr:cNvPr id="110" name="Line 150"/>
        <xdr:cNvSpPr>
          <a:spLocks/>
        </xdr:cNvSpPr>
      </xdr:nvSpPr>
      <xdr:spPr>
        <a:xfrm>
          <a:off x="4876800" y="85725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65</xdr:row>
      <xdr:rowOff>161925</xdr:rowOff>
    </xdr:from>
    <xdr:to>
      <xdr:col>34</xdr:col>
      <xdr:colOff>0</xdr:colOff>
      <xdr:row>67</xdr:row>
      <xdr:rowOff>28575</xdr:rowOff>
    </xdr:to>
    <xdr:sp>
      <xdr:nvSpPr>
        <xdr:cNvPr id="111" name="Line 151"/>
        <xdr:cNvSpPr>
          <a:spLocks/>
        </xdr:cNvSpPr>
      </xdr:nvSpPr>
      <xdr:spPr>
        <a:xfrm>
          <a:off x="10496550" y="14744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33</xdr:row>
      <xdr:rowOff>85725</xdr:rowOff>
    </xdr:from>
    <xdr:to>
      <xdr:col>15</xdr:col>
      <xdr:colOff>161925</xdr:colOff>
      <xdr:row>34</xdr:row>
      <xdr:rowOff>133350</xdr:rowOff>
    </xdr:to>
    <xdr:sp>
      <xdr:nvSpPr>
        <xdr:cNvPr id="112" name="Line 152"/>
        <xdr:cNvSpPr>
          <a:spLocks/>
        </xdr:cNvSpPr>
      </xdr:nvSpPr>
      <xdr:spPr>
        <a:xfrm>
          <a:off x="4733925" y="85725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23</xdr:row>
      <xdr:rowOff>47625</xdr:rowOff>
    </xdr:from>
    <xdr:to>
      <xdr:col>2</xdr:col>
      <xdr:colOff>47625</xdr:colOff>
      <xdr:row>24</xdr:row>
      <xdr:rowOff>142875</xdr:rowOff>
    </xdr:to>
    <xdr:sp>
      <xdr:nvSpPr>
        <xdr:cNvPr id="113" name="Line 153"/>
        <xdr:cNvSpPr>
          <a:spLocks/>
        </xdr:cNvSpPr>
      </xdr:nvSpPr>
      <xdr:spPr>
        <a:xfrm>
          <a:off x="657225" y="45529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23</xdr:row>
      <xdr:rowOff>57150</xdr:rowOff>
    </xdr:from>
    <xdr:to>
      <xdr:col>2</xdr:col>
      <xdr:colOff>180975</xdr:colOff>
      <xdr:row>24</xdr:row>
      <xdr:rowOff>152400</xdr:rowOff>
    </xdr:to>
    <xdr:sp>
      <xdr:nvSpPr>
        <xdr:cNvPr id="114" name="Line 154"/>
        <xdr:cNvSpPr>
          <a:spLocks/>
        </xdr:cNvSpPr>
      </xdr:nvSpPr>
      <xdr:spPr>
        <a:xfrm>
          <a:off x="790575" y="45624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66675</xdr:rowOff>
    </xdr:from>
    <xdr:to>
      <xdr:col>3</xdr:col>
      <xdr:colOff>9525</xdr:colOff>
      <xdr:row>24</xdr:row>
      <xdr:rowOff>161925</xdr:rowOff>
    </xdr:to>
    <xdr:sp>
      <xdr:nvSpPr>
        <xdr:cNvPr id="115" name="Line 155"/>
        <xdr:cNvSpPr>
          <a:spLocks/>
        </xdr:cNvSpPr>
      </xdr:nvSpPr>
      <xdr:spPr>
        <a:xfrm>
          <a:off x="923925" y="45720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23</xdr:row>
      <xdr:rowOff>57150</xdr:rowOff>
    </xdr:from>
    <xdr:to>
      <xdr:col>3</xdr:col>
      <xdr:colOff>152400</xdr:colOff>
      <xdr:row>24</xdr:row>
      <xdr:rowOff>152400</xdr:rowOff>
    </xdr:to>
    <xdr:sp>
      <xdr:nvSpPr>
        <xdr:cNvPr id="116" name="Line 156"/>
        <xdr:cNvSpPr>
          <a:spLocks/>
        </xdr:cNvSpPr>
      </xdr:nvSpPr>
      <xdr:spPr>
        <a:xfrm>
          <a:off x="1066800" y="45624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57150</xdr:rowOff>
    </xdr:from>
    <xdr:to>
      <xdr:col>4</xdr:col>
      <xdr:colOff>0</xdr:colOff>
      <xdr:row>24</xdr:row>
      <xdr:rowOff>152400</xdr:rowOff>
    </xdr:to>
    <xdr:sp>
      <xdr:nvSpPr>
        <xdr:cNvPr id="117" name="Line 157"/>
        <xdr:cNvSpPr>
          <a:spLocks/>
        </xdr:cNvSpPr>
      </xdr:nvSpPr>
      <xdr:spPr>
        <a:xfrm>
          <a:off x="1219200" y="45624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23</xdr:row>
      <xdr:rowOff>47625</xdr:rowOff>
    </xdr:from>
    <xdr:to>
      <xdr:col>4</xdr:col>
      <xdr:colOff>152400</xdr:colOff>
      <xdr:row>24</xdr:row>
      <xdr:rowOff>142875</xdr:rowOff>
    </xdr:to>
    <xdr:sp>
      <xdr:nvSpPr>
        <xdr:cNvPr id="118" name="Line 158"/>
        <xdr:cNvSpPr>
          <a:spLocks/>
        </xdr:cNvSpPr>
      </xdr:nvSpPr>
      <xdr:spPr>
        <a:xfrm>
          <a:off x="1371600" y="45529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23</xdr:row>
      <xdr:rowOff>28575</xdr:rowOff>
    </xdr:from>
    <xdr:to>
      <xdr:col>4</xdr:col>
      <xdr:colOff>295275</xdr:colOff>
      <xdr:row>24</xdr:row>
      <xdr:rowOff>123825</xdr:rowOff>
    </xdr:to>
    <xdr:sp>
      <xdr:nvSpPr>
        <xdr:cNvPr id="119" name="Line 159"/>
        <xdr:cNvSpPr>
          <a:spLocks/>
        </xdr:cNvSpPr>
      </xdr:nvSpPr>
      <xdr:spPr>
        <a:xfrm>
          <a:off x="1514475" y="45339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23</xdr:row>
      <xdr:rowOff>133350</xdr:rowOff>
    </xdr:from>
    <xdr:to>
      <xdr:col>5</xdr:col>
      <xdr:colOff>142875</xdr:colOff>
      <xdr:row>25</xdr:row>
      <xdr:rowOff>38100</xdr:rowOff>
    </xdr:to>
    <xdr:sp>
      <xdr:nvSpPr>
        <xdr:cNvPr id="120" name="Line 160"/>
        <xdr:cNvSpPr>
          <a:spLocks/>
        </xdr:cNvSpPr>
      </xdr:nvSpPr>
      <xdr:spPr>
        <a:xfrm>
          <a:off x="1666875" y="4638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28575</xdr:rowOff>
    </xdr:from>
    <xdr:to>
      <xdr:col>6</xdr:col>
      <xdr:colOff>0</xdr:colOff>
      <xdr:row>25</xdr:row>
      <xdr:rowOff>123825</xdr:rowOff>
    </xdr:to>
    <xdr:sp>
      <xdr:nvSpPr>
        <xdr:cNvPr id="121" name="Line 161"/>
        <xdr:cNvSpPr>
          <a:spLocks/>
        </xdr:cNvSpPr>
      </xdr:nvSpPr>
      <xdr:spPr>
        <a:xfrm>
          <a:off x="1828800" y="47244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24</xdr:row>
      <xdr:rowOff>142875</xdr:rowOff>
    </xdr:from>
    <xdr:to>
      <xdr:col>6</xdr:col>
      <xdr:colOff>142875</xdr:colOff>
      <xdr:row>26</xdr:row>
      <xdr:rowOff>47625</xdr:rowOff>
    </xdr:to>
    <xdr:sp>
      <xdr:nvSpPr>
        <xdr:cNvPr id="122" name="Line 162"/>
        <xdr:cNvSpPr>
          <a:spLocks/>
        </xdr:cNvSpPr>
      </xdr:nvSpPr>
      <xdr:spPr>
        <a:xfrm>
          <a:off x="1971675" y="48387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25</xdr:row>
      <xdr:rowOff>38100</xdr:rowOff>
    </xdr:from>
    <xdr:to>
      <xdr:col>6</xdr:col>
      <xdr:colOff>295275</xdr:colOff>
      <xdr:row>26</xdr:row>
      <xdr:rowOff>133350</xdr:rowOff>
    </xdr:to>
    <xdr:sp>
      <xdr:nvSpPr>
        <xdr:cNvPr id="123" name="Line 163"/>
        <xdr:cNvSpPr>
          <a:spLocks/>
        </xdr:cNvSpPr>
      </xdr:nvSpPr>
      <xdr:spPr>
        <a:xfrm>
          <a:off x="2124075" y="49244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25</xdr:row>
      <xdr:rowOff>133350</xdr:rowOff>
    </xdr:from>
    <xdr:to>
      <xdr:col>7</xdr:col>
      <xdr:colOff>142875</xdr:colOff>
      <xdr:row>27</xdr:row>
      <xdr:rowOff>447675</xdr:rowOff>
    </xdr:to>
    <xdr:sp>
      <xdr:nvSpPr>
        <xdr:cNvPr id="124" name="Line 164"/>
        <xdr:cNvSpPr>
          <a:spLocks/>
        </xdr:cNvSpPr>
      </xdr:nvSpPr>
      <xdr:spPr>
        <a:xfrm>
          <a:off x="2276475" y="50196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26</xdr:row>
      <xdr:rowOff>133350</xdr:rowOff>
    </xdr:from>
    <xdr:to>
      <xdr:col>8</xdr:col>
      <xdr:colOff>142875</xdr:colOff>
      <xdr:row>28</xdr:row>
      <xdr:rowOff>38100</xdr:rowOff>
    </xdr:to>
    <xdr:sp>
      <xdr:nvSpPr>
        <xdr:cNvPr id="125" name="Line 166"/>
        <xdr:cNvSpPr>
          <a:spLocks/>
        </xdr:cNvSpPr>
      </xdr:nvSpPr>
      <xdr:spPr>
        <a:xfrm>
          <a:off x="2581275" y="5210175"/>
          <a:ext cx="0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27</xdr:row>
      <xdr:rowOff>1581150</xdr:rowOff>
    </xdr:from>
    <xdr:to>
      <xdr:col>9</xdr:col>
      <xdr:colOff>142875</xdr:colOff>
      <xdr:row>29</xdr:row>
      <xdr:rowOff>38100</xdr:rowOff>
    </xdr:to>
    <xdr:sp>
      <xdr:nvSpPr>
        <xdr:cNvPr id="126" name="Line 168"/>
        <xdr:cNvSpPr>
          <a:spLocks/>
        </xdr:cNvSpPr>
      </xdr:nvSpPr>
      <xdr:spPr>
        <a:xfrm>
          <a:off x="2886075" y="68484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133350</xdr:rowOff>
    </xdr:from>
    <xdr:to>
      <xdr:col>10</xdr:col>
      <xdr:colOff>142875</xdr:colOff>
      <xdr:row>30</xdr:row>
      <xdr:rowOff>38100</xdr:rowOff>
    </xdr:to>
    <xdr:sp>
      <xdr:nvSpPr>
        <xdr:cNvPr id="127" name="Line 170"/>
        <xdr:cNvSpPr>
          <a:spLocks/>
        </xdr:cNvSpPr>
      </xdr:nvSpPr>
      <xdr:spPr>
        <a:xfrm>
          <a:off x="3190875" y="7667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29</xdr:row>
      <xdr:rowOff>133350</xdr:rowOff>
    </xdr:from>
    <xdr:to>
      <xdr:col>11</xdr:col>
      <xdr:colOff>142875</xdr:colOff>
      <xdr:row>31</xdr:row>
      <xdr:rowOff>38100</xdr:rowOff>
    </xdr:to>
    <xdr:sp>
      <xdr:nvSpPr>
        <xdr:cNvPr id="128" name="Line 172"/>
        <xdr:cNvSpPr>
          <a:spLocks/>
        </xdr:cNvSpPr>
      </xdr:nvSpPr>
      <xdr:spPr>
        <a:xfrm>
          <a:off x="3495675" y="7858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30</xdr:row>
      <xdr:rowOff>133350</xdr:rowOff>
    </xdr:from>
    <xdr:to>
      <xdr:col>12</xdr:col>
      <xdr:colOff>142875</xdr:colOff>
      <xdr:row>32</xdr:row>
      <xdr:rowOff>38100</xdr:rowOff>
    </xdr:to>
    <xdr:sp>
      <xdr:nvSpPr>
        <xdr:cNvPr id="129" name="Line 174"/>
        <xdr:cNvSpPr>
          <a:spLocks/>
        </xdr:cNvSpPr>
      </xdr:nvSpPr>
      <xdr:spPr>
        <a:xfrm>
          <a:off x="3800475" y="8048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31</xdr:row>
      <xdr:rowOff>123825</xdr:rowOff>
    </xdr:from>
    <xdr:to>
      <xdr:col>13</xdr:col>
      <xdr:colOff>142875</xdr:colOff>
      <xdr:row>33</xdr:row>
      <xdr:rowOff>28575</xdr:rowOff>
    </xdr:to>
    <xdr:sp>
      <xdr:nvSpPr>
        <xdr:cNvPr id="130" name="Line 176"/>
        <xdr:cNvSpPr>
          <a:spLocks/>
        </xdr:cNvSpPr>
      </xdr:nvSpPr>
      <xdr:spPr>
        <a:xfrm>
          <a:off x="4105275" y="82296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32</xdr:row>
      <xdr:rowOff>38100</xdr:rowOff>
    </xdr:from>
    <xdr:to>
      <xdr:col>13</xdr:col>
      <xdr:colOff>295275</xdr:colOff>
      <xdr:row>33</xdr:row>
      <xdr:rowOff>133350</xdr:rowOff>
    </xdr:to>
    <xdr:sp>
      <xdr:nvSpPr>
        <xdr:cNvPr id="131" name="Line 177"/>
        <xdr:cNvSpPr>
          <a:spLocks/>
        </xdr:cNvSpPr>
      </xdr:nvSpPr>
      <xdr:spPr>
        <a:xfrm>
          <a:off x="4257675" y="83343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32</xdr:row>
      <xdr:rowOff>123825</xdr:rowOff>
    </xdr:from>
    <xdr:to>
      <xdr:col>14</xdr:col>
      <xdr:colOff>142875</xdr:colOff>
      <xdr:row>34</xdr:row>
      <xdr:rowOff>28575</xdr:rowOff>
    </xdr:to>
    <xdr:sp>
      <xdr:nvSpPr>
        <xdr:cNvPr id="132" name="Line 178"/>
        <xdr:cNvSpPr>
          <a:spLocks/>
        </xdr:cNvSpPr>
      </xdr:nvSpPr>
      <xdr:spPr>
        <a:xfrm>
          <a:off x="4410075" y="84201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33</xdr:row>
      <xdr:rowOff>38100</xdr:rowOff>
    </xdr:from>
    <xdr:to>
      <xdr:col>14</xdr:col>
      <xdr:colOff>295275</xdr:colOff>
      <xdr:row>34</xdr:row>
      <xdr:rowOff>133350</xdr:rowOff>
    </xdr:to>
    <xdr:sp>
      <xdr:nvSpPr>
        <xdr:cNvPr id="133" name="Line 180"/>
        <xdr:cNvSpPr>
          <a:spLocks/>
        </xdr:cNvSpPr>
      </xdr:nvSpPr>
      <xdr:spPr>
        <a:xfrm>
          <a:off x="4562475" y="85248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23</xdr:row>
      <xdr:rowOff>133350</xdr:rowOff>
    </xdr:from>
    <xdr:to>
      <xdr:col>4</xdr:col>
      <xdr:colOff>276225</xdr:colOff>
      <xdr:row>23</xdr:row>
      <xdr:rowOff>133350</xdr:rowOff>
    </xdr:to>
    <xdr:sp>
      <xdr:nvSpPr>
        <xdr:cNvPr id="134" name="Line 183"/>
        <xdr:cNvSpPr>
          <a:spLocks/>
        </xdr:cNvSpPr>
      </xdr:nvSpPr>
      <xdr:spPr>
        <a:xfrm>
          <a:off x="666750" y="46386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23</xdr:row>
      <xdr:rowOff>133350</xdr:rowOff>
    </xdr:from>
    <xdr:to>
      <xdr:col>14</xdr:col>
      <xdr:colOff>295275</xdr:colOff>
      <xdr:row>33</xdr:row>
      <xdr:rowOff>142875</xdr:rowOff>
    </xdr:to>
    <xdr:sp>
      <xdr:nvSpPr>
        <xdr:cNvPr id="135" name="Line 184"/>
        <xdr:cNvSpPr>
          <a:spLocks/>
        </xdr:cNvSpPr>
      </xdr:nvSpPr>
      <xdr:spPr>
        <a:xfrm>
          <a:off x="1504950" y="4638675"/>
          <a:ext cx="3057525" cy="399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276225</xdr:colOff>
      <xdr:row>33</xdr:row>
      <xdr:rowOff>133350</xdr:rowOff>
    </xdr:from>
    <xdr:to>
      <xdr:col>17</xdr:col>
      <xdr:colOff>28575</xdr:colOff>
      <xdr:row>33</xdr:row>
      <xdr:rowOff>133350</xdr:rowOff>
    </xdr:to>
    <xdr:sp>
      <xdr:nvSpPr>
        <xdr:cNvPr id="136" name="Line 185"/>
        <xdr:cNvSpPr>
          <a:spLocks/>
        </xdr:cNvSpPr>
      </xdr:nvSpPr>
      <xdr:spPr>
        <a:xfrm>
          <a:off x="4543425" y="8620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22</xdr:row>
      <xdr:rowOff>95250</xdr:rowOff>
    </xdr:from>
    <xdr:to>
      <xdr:col>15</xdr:col>
      <xdr:colOff>0</xdr:colOff>
      <xdr:row>22</xdr:row>
      <xdr:rowOff>95250</xdr:rowOff>
    </xdr:to>
    <xdr:sp>
      <xdr:nvSpPr>
        <xdr:cNvPr id="137" name="Line 186"/>
        <xdr:cNvSpPr>
          <a:spLocks/>
        </xdr:cNvSpPr>
      </xdr:nvSpPr>
      <xdr:spPr>
        <a:xfrm>
          <a:off x="3667125" y="44100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22</xdr:row>
      <xdr:rowOff>95250</xdr:rowOff>
    </xdr:from>
    <xdr:to>
      <xdr:col>10</xdr:col>
      <xdr:colOff>28575</xdr:colOff>
      <xdr:row>22</xdr:row>
      <xdr:rowOff>95250</xdr:rowOff>
    </xdr:to>
    <xdr:sp>
      <xdr:nvSpPr>
        <xdr:cNvPr id="138" name="Line 187"/>
        <xdr:cNvSpPr>
          <a:spLocks/>
        </xdr:cNvSpPr>
      </xdr:nvSpPr>
      <xdr:spPr>
        <a:xfrm flipH="1">
          <a:off x="1819275" y="44100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22</xdr:row>
      <xdr:rowOff>104775</xdr:rowOff>
    </xdr:from>
    <xdr:to>
      <xdr:col>5</xdr:col>
      <xdr:colOff>295275</xdr:colOff>
      <xdr:row>22</xdr:row>
      <xdr:rowOff>104775</xdr:rowOff>
    </xdr:to>
    <xdr:sp>
      <xdr:nvSpPr>
        <xdr:cNvPr id="139" name="Line 188"/>
        <xdr:cNvSpPr>
          <a:spLocks/>
        </xdr:cNvSpPr>
      </xdr:nvSpPr>
      <xdr:spPr>
        <a:xfrm>
          <a:off x="1447800" y="4419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22</xdr:row>
      <xdr:rowOff>104775</xdr:rowOff>
    </xdr:from>
    <xdr:to>
      <xdr:col>3</xdr:col>
      <xdr:colOff>133350</xdr:colOff>
      <xdr:row>22</xdr:row>
      <xdr:rowOff>104775</xdr:rowOff>
    </xdr:to>
    <xdr:sp>
      <xdr:nvSpPr>
        <xdr:cNvPr id="140" name="Line 189"/>
        <xdr:cNvSpPr>
          <a:spLocks/>
        </xdr:cNvSpPr>
      </xdr:nvSpPr>
      <xdr:spPr>
        <a:xfrm flipH="1">
          <a:off x="600075" y="4419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22</xdr:row>
      <xdr:rowOff>95250</xdr:rowOff>
    </xdr:from>
    <xdr:to>
      <xdr:col>16</xdr:col>
      <xdr:colOff>76200</xdr:colOff>
      <xdr:row>22</xdr:row>
      <xdr:rowOff>95250</xdr:rowOff>
    </xdr:to>
    <xdr:sp>
      <xdr:nvSpPr>
        <xdr:cNvPr id="141" name="Line 190"/>
        <xdr:cNvSpPr>
          <a:spLocks/>
        </xdr:cNvSpPr>
      </xdr:nvSpPr>
      <xdr:spPr>
        <a:xfrm flipH="1">
          <a:off x="4562475" y="4410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22</xdr:row>
      <xdr:rowOff>85725</xdr:rowOff>
    </xdr:from>
    <xdr:to>
      <xdr:col>19</xdr:col>
      <xdr:colOff>9525</xdr:colOff>
      <xdr:row>22</xdr:row>
      <xdr:rowOff>85725</xdr:rowOff>
    </xdr:to>
    <xdr:sp>
      <xdr:nvSpPr>
        <xdr:cNvPr id="142" name="Line 191"/>
        <xdr:cNvSpPr>
          <a:spLocks/>
        </xdr:cNvSpPr>
      </xdr:nvSpPr>
      <xdr:spPr>
        <a:xfrm>
          <a:off x="5410200" y="44005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19050</xdr:rowOff>
    </xdr:from>
    <xdr:to>
      <xdr:col>19</xdr:col>
      <xdr:colOff>0</xdr:colOff>
      <xdr:row>29</xdr:row>
      <xdr:rowOff>180975</xdr:rowOff>
    </xdr:to>
    <xdr:sp>
      <xdr:nvSpPr>
        <xdr:cNvPr id="143" name="Line 192"/>
        <xdr:cNvSpPr>
          <a:spLocks/>
        </xdr:cNvSpPr>
      </xdr:nvSpPr>
      <xdr:spPr>
        <a:xfrm flipV="1">
          <a:off x="5829300" y="4333875"/>
          <a:ext cx="0" cy="3571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38100</xdr:rowOff>
    </xdr:from>
    <xdr:to>
      <xdr:col>15</xdr:col>
      <xdr:colOff>0</xdr:colOff>
      <xdr:row>31</xdr:row>
      <xdr:rowOff>142875</xdr:rowOff>
    </xdr:to>
    <xdr:sp>
      <xdr:nvSpPr>
        <xdr:cNvPr id="144" name="Line 193"/>
        <xdr:cNvSpPr>
          <a:spLocks/>
        </xdr:cNvSpPr>
      </xdr:nvSpPr>
      <xdr:spPr>
        <a:xfrm>
          <a:off x="4572000" y="4352925"/>
          <a:ext cx="0" cy="389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22</xdr:row>
      <xdr:rowOff>47625</xdr:rowOff>
    </xdr:from>
    <xdr:to>
      <xdr:col>5</xdr:col>
      <xdr:colOff>295275</xdr:colOff>
      <xdr:row>22</xdr:row>
      <xdr:rowOff>152400</xdr:rowOff>
    </xdr:to>
    <xdr:sp>
      <xdr:nvSpPr>
        <xdr:cNvPr id="145" name="Line 194"/>
        <xdr:cNvSpPr>
          <a:spLocks/>
        </xdr:cNvSpPr>
      </xdr:nvSpPr>
      <xdr:spPr>
        <a:xfrm>
          <a:off x="1819275" y="43624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38100</xdr:rowOff>
    </xdr:from>
    <xdr:to>
      <xdr:col>2</xdr:col>
      <xdr:colOff>0</xdr:colOff>
      <xdr:row>22</xdr:row>
      <xdr:rowOff>152400</xdr:rowOff>
    </xdr:to>
    <xdr:sp>
      <xdr:nvSpPr>
        <xdr:cNvPr id="146" name="Line 195"/>
        <xdr:cNvSpPr>
          <a:spLocks/>
        </xdr:cNvSpPr>
      </xdr:nvSpPr>
      <xdr:spPr>
        <a:xfrm>
          <a:off x="609600" y="4352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24</xdr:row>
      <xdr:rowOff>95250</xdr:rowOff>
    </xdr:from>
    <xdr:to>
      <xdr:col>1</xdr:col>
      <xdr:colOff>123825</xdr:colOff>
      <xdr:row>25</xdr:row>
      <xdr:rowOff>0</xdr:rowOff>
    </xdr:to>
    <xdr:sp>
      <xdr:nvSpPr>
        <xdr:cNvPr id="147" name="Line 196"/>
        <xdr:cNvSpPr>
          <a:spLocks/>
        </xdr:cNvSpPr>
      </xdr:nvSpPr>
      <xdr:spPr>
        <a:xfrm>
          <a:off x="428625" y="4791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23</xdr:row>
      <xdr:rowOff>0</xdr:rowOff>
    </xdr:from>
    <xdr:to>
      <xdr:col>1</xdr:col>
      <xdr:colOff>142875</xdr:colOff>
      <xdr:row>23</xdr:row>
      <xdr:rowOff>76200</xdr:rowOff>
    </xdr:to>
    <xdr:sp>
      <xdr:nvSpPr>
        <xdr:cNvPr id="148" name="Line 197"/>
        <xdr:cNvSpPr>
          <a:spLocks/>
        </xdr:cNvSpPr>
      </xdr:nvSpPr>
      <xdr:spPr>
        <a:xfrm flipV="1">
          <a:off x="447675" y="4505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22</xdr:row>
      <xdr:rowOff>180975</xdr:rowOff>
    </xdr:from>
    <xdr:to>
      <xdr:col>1</xdr:col>
      <xdr:colOff>200025</xdr:colOff>
      <xdr:row>22</xdr:row>
      <xdr:rowOff>180975</xdr:rowOff>
    </xdr:to>
    <xdr:sp>
      <xdr:nvSpPr>
        <xdr:cNvPr id="149" name="Line 198"/>
        <xdr:cNvSpPr>
          <a:spLocks/>
        </xdr:cNvSpPr>
      </xdr:nvSpPr>
      <xdr:spPr>
        <a:xfrm>
          <a:off x="390525" y="4495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0</xdr:rowOff>
    </xdr:from>
    <xdr:to>
      <xdr:col>1</xdr:col>
      <xdr:colOff>200025</xdr:colOff>
      <xdr:row>25</xdr:row>
      <xdr:rowOff>0</xdr:rowOff>
    </xdr:to>
    <xdr:sp>
      <xdr:nvSpPr>
        <xdr:cNvPr id="150" name="Line 200"/>
        <xdr:cNvSpPr>
          <a:spLocks/>
        </xdr:cNvSpPr>
      </xdr:nvSpPr>
      <xdr:spPr>
        <a:xfrm>
          <a:off x="361950" y="4886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35</xdr:row>
      <xdr:rowOff>0</xdr:rowOff>
    </xdr:from>
    <xdr:to>
      <xdr:col>17</xdr:col>
      <xdr:colOff>152400</xdr:colOff>
      <xdr:row>38</xdr:row>
      <xdr:rowOff>152400</xdr:rowOff>
    </xdr:to>
    <xdr:sp>
      <xdr:nvSpPr>
        <xdr:cNvPr id="151" name="Line 201"/>
        <xdr:cNvSpPr>
          <a:spLocks/>
        </xdr:cNvSpPr>
      </xdr:nvSpPr>
      <xdr:spPr>
        <a:xfrm>
          <a:off x="5334000" y="88677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33</xdr:row>
      <xdr:rowOff>0</xdr:rowOff>
    </xdr:from>
    <xdr:to>
      <xdr:col>12</xdr:col>
      <xdr:colOff>142875</xdr:colOff>
      <xdr:row>37</xdr:row>
      <xdr:rowOff>0</xdr:rowOff>
    </xdr:to>
    <xdr:sp>
      <xdr:nvSpPr>
        <xdr:cNvPr id="152" name="Line 202"/>
        <xdr:cNvSpPr>
          <a:spLocks/>
        </xdr:cNvSpPr>
      </xdr:nvSpPr>
      <xdr:spPr>
        <a:xfrm>
          <a:off x="3800475" y="84867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25</xdr:row>
      <xdr:rowOff>66675</xdr:rowOff>
    </xdr:from>
    <xdr:to>
      <xdr:col>2</xdr:col>
      <xdr:colOff>152400</xdr:colOff>
      <xdr:row>31</xdr:row>
      <xdr:rowOff>66675</xdr:rowOff>
    </xdr:to>
    <xdr:sp>
      <xdr:nvSpPr>
        <xdr:cNvPr id="153" name="Line 203"/>
        <xdr:cNvSpPr>
          <a:spLocks/>
        </xdr:cNvSpPr>
      </xdr:nvSpPr>
      <xdr:spPr>
        <a:xfrm>
          <a:off x="762000" y="495300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27</xdr:row>
      <xdr:rowOff>1819275</xdr:rowOff>
    </xdr:from>
    <xdr:to>
      <xdr:col>7</xdr:col>
      <xdr:colOff>152400</xdr:colOff>
      <xdr:row>33</xdr:row>
      <xdr:rowOff>28575</xdr:rowOff>
    </xdr:to>
    <xdr:sp>
      <xdr:nvSpPr>
        <xdr:cNvPr id="154" name="Line 204"/>
        <xdr:cNvSpPr>
          <a:spLocks/>
        </xdr:cNvSpPr>
      </xdr:nvSpPr>
      <xdr:spPr>
        <a:xfrm>
          <a:off x="2286000" y="70866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27</xdr:row>
      <xdr:rowOff>1247775</xdr:rowOff>
    </xdr:from>
    <xdr:to>
      <xdr:col>7</xdr:col>
      <xdr:colOff>142875</xdr:colOff>
      <xdr:row>27</xdr:row>
      <xdr:rowOff>1247775</xdr:rowOff>
    </xdr:to>
    <xdr:sp>
      <xdr:nvSpPr>
        <xdr:cNvPr id="155" name="Line 205"/>
        <xdr:cNvSpPr>
          <a:spLocks/>
        </xdr:cNvSpPr>
      </xdr:nvSpPr>
      <xdr:spPr>
        <a:xfrm>
          <a:off x="1666875" y="6515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27</xdr:row>
      <xdr:rowOff>904875</xdr:rowOff>
    </xdr:from>
    <xdr:to>
      <xdr:col>3</xdr:col>
      <xdr:colOff>285750</xdr:colOff>
      <xdr:row>27</xdr:row>
      <xdr:rowOff>904875</xdr:rowOff>
    </xdr:to>
    <xdr:sp>
      <xdr:nvSpPr>
        <xdr:cNvPr id="156" name="Line 206"/>
        <xdr:cNvSpPr>
          <a:spLocks/>
        </xdr:cNvSpPr>
      </xdr:nvSpPr>
      <xdr:spPr>
        <a:xfrm flipH="1">
          <a:off x="771525" y="61722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35</xdr:row>
      <xdr:rowOff>123825</xdr:rowOff>
    </xdr:from>
    <xdr:to>
      <xdr:col>14</xdr:col>
      <xdr:colOff>28575</xdr:colOff>
      <xdr:row>35</xdr:row>
      <xdr:rowOff>123825</xdr:rowOff>
    </xdr:to>
    <xdr:sp>
      <xdr:nvSpPr>
        <xdr:cNvPr id="157" name="Line 207"/>
        <xdr:cNvSpPr>
          <a:spLocks/>
        </xdr:cNvSpPr>
      </xdr:nvSpPr>
      <xdr:spPr>
        <a:xfrm flipH="1">
          <a:off x="3790950" y="8991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35</xdr:row>
      <xdr:rowOff>123825</xdr:rowOff>
    </xdr:from>
    <xdr:to>
      <xdr:col>17</xdr:col>
      <xdr:colOff>152400</xdr:colOff>
      <xdr:row>35</xdr:row>
      <xdr:rowOff>123825</xdr:rowOff>
    </xdr:to>
    <xdr:sp>
      <xdr:nvSpPr>
        <xdr:cNvPr id="158" name="Line 208"/>
        <xdr:cNvSpPr>
          <a:spLocks/>
        </xdr:cNvSpPr>
      </xdr:nvSpPr>
      <xdr:spPr>
        <a:xfrm>
          <a:off x="4695825" y="89916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24</xdr:row>
      <xdr:rowOff>95250</xdr:rowOff>
    </xdr:from>
    <xdr:to>
      <xdr:col>7</xdr:col>
      <xdr:colOff>85725</xdr:colOff>
      <xdr:row>25</xdr:row>
      <xdr:rowOff>95250</xdr:rowOff>
    </xdr:to>
    <xdr:sp>
      <xdr:nvSpPr>
        <xdr:cNvPr id="159" name="Line 209"/>
        <xdr:cNvSpPr>
          <a:spLocks/>
        </xdr:cNvSpPr>
      </xdr:nvSpPr>
      <xdr:spPr>
        <a:xfrm>
          <a:off x="2219325" y="4791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24</xdr:row>
      <xdr:rowOff>104775</xdr:rowOff>
    </xdr:from>
    <xdr:to>
      <xdr:col>7</xdr:col>
      <xdr:colOff>295275</xdr:colOff>
      <xdr:row>24</xdr:row>
      <xdr:rowOff>104775</xdr:rowOff>
    </xdr:to>
    <xdr:sp>
      <xdr:nvSpPr>
        <xdr:cNvPr id="160" name="Line 210"/>
        <xdr:cNvSpPr>
          <a:spLocks/>
        </xdr:cNvSpPr>
      </xdr:nvSpPr>
      <xdr:spPr>
        <a:xfrm>
          <a:off x="2209800" y="4800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25</xdr:row>
      <xdr:rowOff>133350</xdr:rowOff>
    </xdr:from>
    <xdr:to>
      <xdr:col>9</xdr:col>
      <xdr:colOff>66675</xdr:colOff>
      <xdr:row>28</xdr:row>
      <xdr:rowOff>9525</xdr:rowOff>
    </xdr:to>
    <xdr:sp>
      <xdr:nvSpPr>
        <xdr:cNvPr id="161" name="Line 211"/>
        <xdr:cNvSpPr>
          <a:spLocks/>
        </xdr:cNvSpPr>
      </xdr:nvSpPr>
      <xdr:spPr>
        <a:xfrm>
          <a:off x="2809875" y="5019675"/>
          <a:ext cx="0" cy="252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25</xdr:row>
      <xdr:rowOff>123825</xdr:rowOff>
    </xdr:from>
    <xdr:to>
      <xdr:col>9</xdr:col>
      <xdr:colOff>276225</xdr:colOff>
      <xdr:row>25</xdr:row>
      <xdr:rowOff>123825</xdr:rowOff>
    </xdr:to>
    <xdr:sp>
      <xdr:nvSpPr>
        <xdr:cNvPr id="162" name="Line 212"/>
        <xdr:cNvSpPr>
          <a:spLocks/>
        </xdr:cNvSpPr>
      </xdr:nvSpPr>
      <xdr:spPr>
        <a:xfrm>
          <a:off x="2809875" y="50101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26</xdr:row>
      <xdr:rowOff>133350</xdr:rowOff>
    </xdr:from>
    <xdr:to>
      <xdr:col>10</xdr:col>
      <xdr:colOff>247650</xdr:colOff>
      <xdr:row>28</xdr:row>
      <xdr:rowOff>133350</xdr:rowOff>
    </xdr:to>
    <xdr:sp>
      <xdr:nvSpPr>
        <xdr:cNvPr id="163" name="Line 213"/>
        <xdr:cNvSpPr>
          <a:spLocks/>
        </xdr:cNvSpPr>
      </xdr:nvSpPr>
      <xdr:spPr>
        <a:xfrm>
          <a:off x="3295650" y="521017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26</xdr:row>
      <xdr:rowOff>133350</xdr:rowOff>
    </xdr:from>
    <xdr:to>
      <xdr:col>11</xdr:col>
      <xdr:colOff>38100</xdr:colOff>
      <xdr:row>26</xdr:row>
      <xdr:rowOff>133350</xdr:rowOff>
    </xdr:to>
    <xdr:sp>
      <xdr:nvSpPr>
        <xdr:cNvPr id="164" name="Line 214"/>
        <xdr:cNvSpPr>
          <a:spLocks/>
        </xdr:cNvSpPr>
      </xdr:nvSpPr>
      <xdr:spPr>
        <a:xfrm>
          <a:off x="3295650" y="5210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19050</xdr:rowOff>
    </xdr:from>
    <xdr:to>
      <xdr:col>13</xdr:col>
      <xdr:colOff>0</xdr:colOff>
      <xdr:row>29</xdr:row>
      <xdr:rowOff>152400</xdr:rowOff>
    </xdr:to>
    <xdr:sp>
      <xdr:nvSpPr>
        <xdr:cNvPr id="165" name="Line 215"/>
        <xdr:cNvSpPr>
          <a:spLocks/>
        </xdr:cNvSpPr>
      </xdr:nvSpPr>
      <xdr:spPr>
        <a:xfrm>
          <a:off x="3962400" y="77438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29</xdr:row>
      <xdr:rowOff>104775</xdr:rowOff>
    </xdr:from>
    <xdr:to>
      <xdr:col>12</xdr:col>
      <xdr:colOff>9525</xdr:colOff>
      <xdr:row>29</xdr:row>
      <xdr:rowOff>104775</xdr:rowOff>
    </xdr:to>
    <xdr:sp>
      <xdr:nvSpPr>
        <xdr:cNvPr id="166" name="Line 216"/>
        <xdr:cNvSpPr>
          <a:spLocks/>
        </xdr:cNvSpPr>
      </xdr:nvSpPr>
      <xdr:spPr>
        <a:xfrm>
          <a:off x="3571875" y="7829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29</xdr:row>
      <xdr:rowOff>104775</xdr:rowOff>
    </xdr:from>
    <xdr:to>
      <xdr:col>13</xdr:col>
      <xdr:colOff>133350</xdr:colOff>
      <xdr:row>29</xdr:row>
      <xdr:rowOff>104775</xdr:rowOff>
    </xdr:to>
    <xdr:sp>
      <xdr:nvSpPr>
        <xdr:cNvPr id="167" name="Line 217"/>
        <xdr:cNvSpPr>
          <a:spLocks/>
        </xdr:cNvSpPr>
      </xdr:nvSpPr>
      <xdr:spPr>
        <a:xfrm flipH="1">
          <a:off x="3952875" y="7829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30</xdr:row>
      <xdr:rowOff>0</xdr:rowOff>
    </xdr:from>
    <xdr:to>
      <xdr:col>13</xdr:col>
      <xdr:colOff>276225</xdr:colOff>
      <xdr:row>30</xdr:row>
      <xdr:rowOff>0</xdr:rowOff>
    </xdr:to>
    <xdr:sp>
      <xdr:nvSpPr>
        <xdr:cNvPr id="168" name="Line 218"/>
        <xdr:cNvSpPr>
          <a:spLocks/>
        </xdr:cNvSpPr>
      </xdr:nvSpPr>
      <xdr:spPr>
        <a:xfrm>
          <a:off x="4067175" y="7915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29</xdr:row>
      <xdr:rowOff>76200</xdr:rowOff>
    </xdr:from>
    <xdr:to>
      <xdr:col>13</xdr:col>
      <xdr:colOff>161925</xdr:colOff>
      <xdr:row>30</xdr:row>
      <xdr:rowOff>9525</xdr:rowOff>
    </xdr:to>
    <xdr:sp>
      <xdr:nvSpPr>
        <xdr:cNvPr id="169" name="Line 219"/>
        <xdr:cNvSpPr>
          <a:spLocks/>
        </xdr:cNvSpPr>
      </xdr:nvSpPr>
      <xdr:spPr>
        <a:xfrm>
          <a:off x="4124325" y="7800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31</xdr:row>
      <xdr:rowOff>0</xdr:rowOff>
    </xdr:from>
    <xdr:to>
      <xdr:col>13</xdr:col>
      <xdr:colOff>171450</xdr:colOff>
      <xdr:row>31</xdr:row>
      <xdr:rowOff>123825</xdr:rowOff>
    </xdr:to>
    <xdr:sp>
      <xdr:nvSpPr>
        <xdr:cNvPr id="170" name="Line 220"/>
        <xdr:cNvSpPr>
          <a:spLocks/>
        </xdr:cNvSpPr>
      </xdr:nvSpPr>
      <xdr:spPr>
        <a:xfrm flipV="1">
          <a:off x="4133850" y="81057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31</xdr:row>
      <xdr:rowOff>180975</xdr:rowOff>
    </xdr:from>
    <xdr:to>
      <xdr:col>18</xdr:col>
      <xdr:colOff>104775</xdr:colOff>
      <xdr:row>33</xdr:row>
      <xdr:rowOff>28575</xdr:rowOff>
    </xdr:to>
    <xdr:sp>
      <xdr:nvSpPr>
        <xdr:cNvPr id="171" name="Line 221"/>
        <xdr:cNvSpPr>
          <a:spLocks/>
        </xdr:cNvSpPr>
      </xdr:nvSpPr>
      <xdr:spPr>
        <a:xfrm>
          <a:off x="5591175" y="8286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295275</xdr:colOff>
      <xdr:row>7</xdr:row>
      <xdr:rowOff>0</xdr:rowOff>
    </xdr:from>
    <xdr:to>
      <xdr:col>31</xdr:col>
      <xdr:colOff>19050</xdr:colOff>
      <xdr:row>7</xdr:row>
      <xdr:rowOff>0</xdr:rowOff>
    </xdr:to>
    <xdr:sp>
      <xdr:nvSpPr>
        <xdr:cNvPr id="172" name="Line 222"/>
        <xdr:cNvSpPr>
          <a:spLocks/>
        </xdr:cNvSpPr>
      </xdr:nvSpPr>
      <xdr:spPr>
        <a:xfrm>
          <a:off x="7134225" y="12573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</xdr:row>
      <xdr:rowOff>9525</xdr:rowOff>
    </xdr:from>
    <xdr:to>
      <xdr:col>29</xdr:col>
      <xdr:colOff>0</xdr:colOff>
      <xdr:row>10</xdr:row>
      <xdr:rowOff>9525</xdr:rowOff>
    </xdr:to>
    <xdr:sp>
      <xdr:nvSpPr>
        <xdr:cNvPr id="173" name="Line 223"/>
        <xdr:cNvSpPr>
          <a:spLocks/>
        </xdr:cNvSpPr>
      </xdr:nvSpPr>
      <xdr:spPr>
        <a:xfrm>
          <a:off x="7143750" y="18954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161925</xdr:colOff>
      <xdr:row>14</xdr:row>
      <xdr:rowOff>0</xdr:rowOff>
    </xdr:from>
    <xdr:to>
      <xdr:col>28</xdr:col>
      <xdr:colOff>295275</xdr:colOff>
      <xdr:row>14</xdr:row>
      <xdr:rowOff>0</xdr:rowOff>
    </xdr:to>
    <xdr:sp>
      <xdr:nvSpPr>
        <xdr:cNvPr id="174" name="Line 224"/>
        <xdr:cNvSpPr>
          <a:spLocks/>
        </xdr:cNvSpPr>
      </xdr:nvSpPr>
      <xdr:spPr>
        <a:xfrm>
          <a:off x="8220075" y="27432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9525</xdr:rowOff>
    </xdr:from>
    <xdr:to>
      <xdr:col>31</xdr:col>
      <xdr:colOff>9525</xdr:colOff>
      <xdr:row>18</xdr:row>
      <xdr:rowOff>0</xdr:rowOff>
    </xdr:to>
    <xdr:sp>
      <xdr:nvSpPr>
        <xdr:cNvPr id="175" name="Line 225"/>
        <xdr:cNvSpPr>
          <a:spLocks/>
        </xdr:cNvSpPr>
      </xdr:nvSpPr>
      <xdr:spPr>
        <a:xfrm>
          <a:off x="9591675" y="1266825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18</xdr:row>
      <xdr:rowOff>9525</xdr:rowOff>
    </xdr:from>
    <xdr:to>
      <xdr:col>31</xdr:col>
      <xdr:colOff>19050</xdr:colOff>
      <xdr:row>18</xdr:row>
      <xdr:rowOff>9525</xdr:rowOff>
    </xdr:to>
    <xdr:sp>
      <xdr:nvSpPr>
        <xdr:cNvPr id="176" name="Line 226"/>
        <xdr:cNvSpPr>
          <a:spLocks/>
        </xdr:cNvSpPr>
      </xdr:nvSpPr>
      <xdr:spPr>
        <a:xfrm flipH="1">
          <a:off x="8210550" y="35337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0</xdr:colOff>
      <xdr:row>13</xdr:row>
      <xdr:rowOff>180975</xdr:rowOff>
    </xdr:to>
    <xdr:sp>
      <xdr:nvSpPr>
        <xdr:cNvPr id="177" name="Line 227"/>
        <xdr:cNvSpPr>
          <a:spLocks/>
        </xdr:cNvSpPr>
      </xdr:nvSpPr>
      <xdr:spPr>
        <a:xfrm>
          <a:off x="8972550" y="18859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295275</xdr:colOff>
      <xdr:row>6</xdr:row>
      <xdr:rowOff>180975</xdr:rowOff>
    </xdr:from>
    <xdr:to>
      <xdr:col>22</xdr:col>
      <xdr:colOff>295275</xdr:colOff>
      <xdr:row>10</xdr:row>
      <xdr:rowOff>38100</xdr:rowOff>
    </xdr:to>
    <xdr:sp>
      <xdr:nvSpPr>
        <xdr:cNvPr id="178" name="Line 228"/>
        <xdr:cNvSpPr>
          <a:spLocks/>
        </xdr:cNvSpPr>
      </xdr:nvSpPr>
      <xdr:spPr>
        <a:xfrm>
          <a:off x="7134225" y="12382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</xdr:row>
      <xdr:rowOff>9525</xdr:rowOff>
    </xdr:from>
    <xdr:to>
      <xdr:col>25</xdr:col>
      <xdr:colOff>0</xdr:colOff>
      <xdr:row>10</xdr:row>
      <xdr:rowOff>19050</xdr:rowOff>
    </xdr:to>
    <xdr:sp>
      <xdr:nvSpPr>
        <xdr:cNvPr id="179" name="Line 229"/>
        <xdr:cNvSpPr>
          <a:spLocks/>
        </xdr:cNvSpPr>
      </xdr:nvSpPr>
      <xdr:spPr>
        <a:xfrm>
          <a:off x="7753350" y="12668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7</xdr:row>
      <xdr:rowOff>0</xdr:rowOff>
    </xdr:from>
    <xdr:to>
      <xdr:col>29</xdr:col>
      <xdr:colOff>0</xdr:colOff>
      <xdr:row>18</xdr:row>
      <xdr:rowOff>9525</xdr:rowOff>
    </xdr:to>
    <xdr:sp>
      <xdr:nvSpPr>
        <xdr:cNvPr id="180" name="Line 230"/>
        <xdr:cNvSpPr>
          <a:spLocks/>
        </xdr:cNvSpPr>
      </xdr:nvSpPr>
      <xdr:spPr>
        <a:xfrm>
          <a:off x="8972550" y="1257300"/>
          <a:ext cx="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161925</xdr:colOff>
      <xdr:row>7</xdr:row>
      <xdr:rowOff>0</xdr:rowOff>
    </xdr:from>
    <xdr:to>
      <xdr:col>25</xdr:col>
      <xdr:colOff>161925</xdr:colOff>
      <xdr:row>10</xdr:row>
      <xdr:rowOff>9525</xdr:rowOff>
    </xdr:to>
    <xdr:sp>
      <xdr:nvSpPr>
        <xdr:cNvPr id="181" name="Line 231"/>
        <xdr:cNvSpPr>
          <a:spLocks/>
        </xdr:cNvSpPr>
      </xdr:nvSpPr>
      <xdr:spPr>
        <a:xfrm>
          <a:off x="7915275" y="12573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0</xdr:rowOff>
    </xdr:from>
    <xdr:to>
      <xdr:col>26</xdr:col>
      <xdr:colOff>9525</xdr:colOff>
      <xdr:row>10</xdr:row>
      <xdr:rowOff>9525</xdr:rowOff>
    </xdr:to>
    <xdr:sp>
      <xdr:nvSpPr>
        <xdr:cNvPr id="182" name="Line 232"/>
        <xdr:cNvSpPr>
          <a:spLocks/>
        </xdr:cNvSpPr>
      </xdr:nvSpPr>
      <xdr:spPr>
        <a:xfrm>
          <a:off x="8067675" y="12573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161925</xdr:colOff>
      <xdr:row>7</xdr:row>
      <xdr:rowOff>0</xdr:rowOff>
    </xdr:from>
    <xdr:to>
      <xdr:col>26</xdr:col>
      <xdr:colOff>161925</xdr:colOff>
      <xdr:row>10</xdr:row>
      <xdr:rowOff>9525</xdr:rowOff>
    </xdr:to>
    <xdr:sp>
      <xdr:nvSpPr>
        <xdr:cNvPr id="183" name="Line 233"/>
        <xdr:cNvSpPr>
          <a:spLocks/>
        </xdr:cNvSpPr>
      </xdr:nvSpPr>
      <xdr:spPr>
        <a:xfrm>
          <a:off x="8220075" y="12573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0</xdr:rowOff>
    </xdr:from>
    <xdr:to>
      <xdr:col>27</xdr:col>
      <xdr:colOff>9525</xdr:colOff>
      <xdr:row>10</xdr:row>
      <xdr:rowOff>9525</xdr:rowOff>
    </xdr:to>
    <xdr:sp>
      <xdr:nvSpPr>
        <xdr:cNvPr id="184" name="Line 234"/>
        <xdr:cNvSpPr>
          <a:spLocks/>
        </xdr:cNvSpPr>
      </xdr:nvSpPr>
      <xdr:spPr>
        <a:xfrm>
          <a:off x="8372475" y="12573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161925</xdr:colOff>
      <xdr:row>7</xdr:row>
      <xdr:rowOff>0</xdr:rowOff>
    </xdr:from>
    <xdr:to>
      <xdr:col>27</xdr:col>
      <xdr:colOff>161925</xdr:colOff>
      <xdr:row>10</xdr:row>
      <xdr:rowOff>9525</xdr:rowOff>
    </xdr:to>
    <xdr:sp>
      <xdr:nvSpPr>
        <xdr:cNvPr id="185" name="Line 235"/>
        <xdr:cNvSpPr>
          <a:spLocks/>
        </xdr:cNvSpPr>
      </xdr:nvSpPr>
      <xdr:spPr>
        <a:xfrm>
          <a:off x="8524875" y="12573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6</xdr:row>
      <xdr:rowOff>180975</xdr:rowOff>
    </xdr:from>
    <xdr:to>
      <xdr:col>28</xdr:col>
      <xdr:colOff>9525</xdr:colOff>
      <xdr:row>10</xdr:row>
      <xdr:rowOff>0</xdr:rowOff>
    </xdr:to>
    <xdr:sp>
      <xdr:nvSpPr>
        <xdr:cNvPr id="186" name="Line 236"/>
        <xdr:cNvSpPr>
          <a:spLocks/>
        </xdr:cNvSpPr>
      </xdr:nvSpPr>
      <xdr:spPr>
        <a:xfrm>
          <a:off x="8677275" y="12382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161925</xdr:colOff>
      <xdr:row>7</xdr:row>
      <xdr:rowOff>9525</xdr:rowOff>
    </xdr:from>
    <xdr:to>
      <xdr:col>28</xdr:col>
      <xdr:colOff>161925</xdr:colOff>
      <xdr:row>10</xdr:row>
      <xdr:rowOff>19050</xdr:rowOff>
    </xdr:to>
    <xdr:sp>
      <xdr:nvSpPr>
        <xdr:cNvPr id="187" name="Line 237"/>
        <xdr:cNvSpPr>
          <a:spLocks/>
        </xdr:cNvSpPr>
      </xdr:nvSpPr>
      <xdr:spPr>
        <a:xfrm>
          <a:off x="8829675" y="12668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18</xdr:row>
      <xdr:rowOff>19050</xdr:rowOff>
    </xdr:to>
    <xdr:sp>
      <xdr:nvSpPr>
        <xdr:cNvPr id="188" name="Line 241"/>
        <xdr:cNvSpPr>
          <a:spLocks/>
        </xdr:cNvSpPr>
      </xdr:nvSpPr>
      <xdr:spPr>
        <a:xfrm>
          <a:off x="8210550" y="27432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180975</xdr:rowOff>
    </xdr:from>
    <xdr:to>
      <xdr:col>27</xdr:col>
      <xdr:colOff>0</xdr:colOff>
      <xdr:row>18</xdr:row>
      <xdr:rowOff>9525</xdr:rowOff>
    </xdr:to>
    <xdr:sp>
      <xdr:nvSpPr>
        <xdr:cNvPr id="189" name="Line 242"/>
        <xdr:cNvSpPr>
          <a:spLocks/>
        </xdr:cNvSpPr>
      </xdr:nvSpPr>
      <xdr:spPr>
        <a:xfrm>
          <a:off x="8362950" y="27241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13</xdr:row>
      <xdr:rowOff>180975</xdr:rowOff>
    </xdr:from>
    <xdr:to>
      <xdr:col>27</xdr:col>
      <xdr:colOff>152400</xdr:colOff>
      <xdr:row>18</xdr:row>
      <xdr:rowOff>19050</xdr:rowOff>
    </xdr:to>
    <xdr:sp>
      <xdr:nvSpPr>
        <xdr:cNvPr id="190" name="Line 243"/>
        <xdr:cNvSpPr>
          <a:spLocks/>
        </xdr:cNvSpPr>
      </xdr:nvSpPr>
      <xdr:spPr>
        <a:xfrm>
          <a:off x="8515350" y="27241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180975</xdr:rowOff>
    </xdr:from>
    <xdr:to>
      <xdr:col>28</xdr:col>
      <xdr:colOff>0</xdr:colOff>
      <xdr:row>18</xdr:row>
      <xdr:rowOff>19050</xdr:rowOff>
    </xdr:to>
    <xdr:sp>
      <xdr:nvSpPr>
        <xdr:cNvPr id="191" name="Line 244"/>
        <xdr:cNvSpPr>
          <a:spLocks/>
        </xdr:cNvSpPr>
      </xdr:nvSpPr>
      <xdr:spPr>
        <a:xfrm>
          <a:off x="8667750" y="27241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19050</xdr:rowOff>
    </xdr:from>
    <xdr:to>
      <xdr:col>28</xdr:col>
      <xdr:colOff>152400</xdr:colOff>
      <xdr:row>18</xdr:row>
      <xdr:rowOff>28575</xdr:rowOff>
    </xdr:to>
    <xdr:sp>
      <xdr:nvSpPr>
        <xdr:cNvPr id="192" name="Line 245"/>
        <xdr:cNvSpPr>
          <a:spLocks/>
        </xdr:cNvSpPr>
      </xdr:nvSpPr>
      <xdr:spPr>
        <a:xfrm>
          <a:off x="8820150" y="276225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295275</xdr:colOff>
      <xdr:row>14</xdr:row>
      <xdr:rowOff>0</xdr:rowOff>
    </xdr:from>
    <xdr:to>
      <xdr:col>31</xdr:col>
      <xdr:colOff>19050</xdr:colOff>
      <xdr:row>14</xdr:row>
      <xdr:rowOff>0</xdr:rowOff>
    </xdr:to>
    <xdr:sp>
      <xdr:nvSpPr>
        <xdr:cNvPr id="193" name="Line 246"/>
        <xdr:cNvSpPr>
          <a:spLocks/>
        </xdr:cNvSpPr>
      </xdr:nvSpPr>
      <xdr:spPr>
        <a:xfrm>
          <a:off x="8963025" y="27432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295275</xdr:colOff>
      <xdr:row>10</xdr:row>
      <xdr:rowOff>9525</xdr:rowOff>
    </xdr:from>
    <xdr:to>
      <xdr:col>31</xdr:col>
      <xdr:colOff>19050</xdr:colOff>
      <xdr:row>10</xdr:row>
      <xdr:rowOff>9525</xdr:rowOff>
    </xdr:to>
    <xdr:sp>
      <xdr:nvSpPr>
        <xdr:cNvPr id="194" name="Line 247"/>
        <xdr:cNvSpPr>
          <a:spLocks/>
        </xdr:cNvSpPr>
      </xdr:nvSpPr>
      <xdr:spPr>
        <a:xfrm>
          <a:off x="8963025" y="18954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295275</xdr:colOff>
      <xdr:row>11</xdr:row>
      <xdr:rowOff>0</xdr:rowOff>
    </xdr:from>
    <xdr:to>
      <xdr:col>31</xdr:col>
      <xdr:colOff>19050</xdr:colOff>
      <xdr:row>11</xdr:row>
      <xdr:rowOff>0</xdr:rowOff>
    </xdr:to>
    <xdr:sp>
      <xdr:nvSpPr>
        <xdr:cNvPr id="195" name="Line 248"/>
        <xdr:cNvSpPr>
          <a:spLocks/>
        </xdr:cNvSpPr>
      </xdr:nvSpPr>
      <xdr:spPr>
        <a:xfrm>
          <a:off x="8963025" y="2085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295275</xdr:colOff>
      <xdr:row>12</xdr:row>
      <xdr:rowOff>9525</xdr:rowOff>
    </xdr:from>
    <xdr:to>
      <xdr:col>31</xdr:col>
      <xdr:colOff>19050</xdr:colOff>
      <xdr:row>12</xdr:row>
      <xdr:rowOff>9525</xdr:rowOff>
    </xdr:to>
    <xdr:sp>
      <xdr:nvSpPr>
        <xdr:cNvPr id="196" name="Line 249"/>
        <xdr:cNvSpPr>
          <a:spLocks/>
        </xdr:cNvSpPr>
      </xdr:nvSpPr>
      <xdr:spPr>
        <a:xfrm>
          <a:off x="8963025" y="23241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295275</xdr:colOff>
      <xdr:row>13</xdr:row>
      <xdr:rowOff>0</xdr:rowOff>
    </xdr:from>
    <xdr:to>
      <xdr:col>31</xdr:col>
      <xdr:colOff>19050</xdr:colOff>
      <xdr:row>13</xdr:row>
      <xdr:rowOff>0</xdr:rowOff>
    </xdr:to>
    <xdr:sp>
      <xdr:nvSpPr>
        <xdr:cNvPr id="197" name="Line 250"/>
        <xdr:cNvSpPr>
          <a:spLocks/>
        </xdr:cNvSpPr>
      </xdr:nvSpPr>
      <xdr:spPr>
        <a:xfrm>
          <a:off x="8963025" y="25431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8</xdr:row>
      <xdr:rowOff>9525</xdr:rowOff>
    </xdr:from>
    <xdr:to>
      <xdr:col>30</xdr:col>
      <xdr:colOff>47625</xdr:colOff>
      <xdr:row>8</xdr:row>
      <xdr:rowOff>9525</xdr:rowOff>
    </xdr:to>
    <xdr:sp>
      <xdr:nvSpPr>
        <xdr:cNvPr id="198" name="Line 251"/>
        <xdr:cNvSpPr>
          <a:spLocks/>
        </xdr:cNvSpPr>
      </xdr:nvSpPr>
      <xdr:spPr>
        <a:xfrm>
          <a:off x="7153275" y="14668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8</xdr:row>
      <xdr:rowOff>152400</xdr:rowOff>
    </xdr:from>
    <xdr:to>
      <xdr:col>30</xdr:col>
      <xdr:colOff>57150</xdr:colOff>
      <xdr:row>8</xdr:row>
      <xdr:rowOff>152400</xdr:rowOff>
    </xdr:to>
    <xdr:sp>
      <xdr:nvSpPr>
        <xdr:cNvPr id="199" name="Line 252"/>
        <xdr:cNvSpPr>
          <a:spLocks/>
        </xdr:cNvSpPr>
      </xdr:nvSpPr>
      <xdr:spPr>
        <a:xfrm>
          <a:off x="7153275" y="160972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8</xdr:row>
      <xdr:rowOff>9525</xdr:rowOff>
    </xdr:from>
    <xdr:to>
      <xdr:col>30</xdr:col>
      <xdr:colOff>66675</xdr:colOff>
      <xdr:row>17</xdr:row>
      <xdr:rowOff>0</xdr:rowOff>
    </xdr:to>
    <xdr:sp>
      <xdr:nvSpPr>
        <xdr:cNvPr id="200" name="Line 253"/>
        <xdr:cNvSpPr>
          <a:spLocks/>
        </xdr:cNvSpPr>
      </xdr:nvSpPr>
      <xdr:spPr>
        <a:xfrm>
          <a:off x="9344025" y="1466850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142875</xdr:colOff>
      <xdr:row>17</xdr:row>
      <xdr:rowOff>9525</xdr:rowOff>
    </xdr:from>
    <xdr:to>
      <xdr:col>30</xdr:col>
      <xdr:colOff>76200</xdr:colOff>
      <xdr:row>17</xdr:row>
      <xdr:rowOff>9525</xdr:rowOff>
    </xdr:to>
    <xdr:sp>
      <xdr:nvSpPr>
        <xdr:cNvPr id="201" name="Line 254"/>
        <xdr:cNvSpPr>
          <a:spLocks/>
        </xdr:cNvSpPr>
      </xdr:nvSpPr>
      <xdr:spPr>
        <a:xfrm flipH="1">
          <a:off x="8201025" y="33337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142875</xdr:colOff>
      <xdr:row>16</xdr:row>
      <xdr:rowOff>76200</xdr:rowOff>
    </xdr:from>
    <xdr:to>
      <xdr:col>30</xdr:col>
      <xdr:colOff>85725</xdr:colOff>
      <xdr:row>16</xdr:row>
      <xdr:rowOff>76200</xdr:rowOff>
    </xdr:to>
    <xdr:sp>
      <xdr:nvSpPr>
        <xdr:cNvPr id="202" name="Line 255"/>
        <xdr:cNvSpPr>
          <a:spLocks/>
        </xdr:cNvSpPr>
      </xdr:nvSpPr>
      <xdr:spPr>
        <a:xfrm flipH="1">
          <a:off x="8201025" y="32004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266700</xdr:colOff>
      <xdr:row>8</xdr:row>
      <xdr:rowOff>0</xdr:rowOff>
    </xdr:from>
    <xdr:to>
      <xdr:col>29</xdr:col>
      <xdr:colOff>266700</xdr:colOff>
      <xdr:row>17</xdr:row>
      <xdr:rowOff>0</xdr:rowOff>
    </xdr:to>
    <xdr:sp>
      <xdr:nvSpPr>
        <xdr:cNvPr id="203" name="Line 256"/>
        <xdr:cNvSpPr>
          <a:spLocks/>
        </xdr:cNvSpPr>
      </xdr:nvSpPr>
      <xdr:spPr>
        <a:xfrm>
          <a:off x="9239250" y="1457325"/>
          <a:ext cx="0" cy="1866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104775</xdr:rowOff>
    </xdr:from>
    <xdr:to>
      <xdr:col>26</xdr:col>
      <xdr:colOff>95250</xdr:colOff>
      <xdr:row>4</xdr:row>
      <xdr:rowOff>104775</xdr:rowOff>
    </xdr:to>
    <xdr:sp>
      <xdr:nvSpPr>
        <xdr:cNvPr id="204" name="Line 257"/>
        <xdr:cNvSpPr>
          <a:spLocks/>
        </xdr:cNvSpPr>
      </xdr:nvSpPr>
      <xdr:spPr>
        <a:xfrm flipH="1">
          <a:off x="7753350" y="7810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4</xdr:row>
      <xdr:rowOff>95250</xdr:rowOff>
    </xdr:from>
    <xdr:to>
      <xdr:col>29</xdr:col>
      <xdr:colOff>19050</xdr:colOff>
      <xdr:row>4</xdr:row>
      <xdr:rowOff>95250</xdr:rowOff>
    </xdr:to>
    <xdr:sp>
      <xdr:nvSpPr>
        <xdr:cNvPr id="205" name="Line 258"/>
        <xdr:cNvSpPr>
          <a:spLocks/>
        </xdr:cNvSpPr>
      </xdr:nvSpPr>
      <xdr:spPr>
        <a:xfrm>
          <a:off x="8591550" y="7715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180975</xdr:colOff>
      <xdr:row>4</xdr:row>
      <xdr:rowOff>104775</xdr:rowOff>
    </xdr:from>
    <xdr:to>
      <xdr:col>25</xdr:col>
      <xdr:colOff>19050</xdr:colOff>
      <xdr:row>4</xdr:row>
      <xdr:rowOff>104775</xdr:rowOff>
    </xdr:to>
    <xdr:sp>
      <xdr:nvSpPr>
        <xdr:cNvPr id="206" name="Line 259"/>
        <xdr:cNvSpPr>
          <a:spLocks/>
        </xdr:cNvSpPr>
      </xdr:nvSpPr>
      <xdr:spPr>
        <a:xfrm>
          <a:off x="7629525" y="7810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104775</xdr:rowOff>
    </xdr:from>
    <xdr:to>
      <xdr:col>23</xdr:col>
      <xdr:colOff>133350</xdr:colOff>
      <xdr:row>4</xdr:row>
      <xdr:rowOff>114300</xdr:rowOff>
    </xdr:to>
    <xdr:sp>
      <xdr:nvSpPr>
        <xdr:cNvPr id="207" name="Line 260"/>
        <xdr:cNvSpPr>
          <a:spLocks/>
        </xdr:cNvSpPr>
      </xdr:nvSpPr>
      <xdr:spPr>
        <a:xfrm flipH="1">
          <a:off x="7143750" y="7810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47625</xdr:rowOff>
    </xdr:from>
    <xdr:to>
      <xdr:col>23</xdr:col>
      <xdr:colOff>0</xdr:colOff>
      <xdr:row>6</xdr:row>
      <xdr:rowOff>152400</xdr:rowOff>
    </xdr:to>
    <xdr:sp>
      <xdr:nvSpPr>
        <xdr:cNvPr id="208" name="Line 261"/>
        <xdr:cNvSpPr>
          <a:spLocks/>
        </xdr:cNvSpPr>
      </xdr:nvSpPr>
      <xdr:spPr>
        <a:xfrm>
          <a:off x="7143750" y="7239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9525</xdr:rowOff>
    </xdr:from>
    <xdr:to>
      <xdr:col>25</xdr:col>
      <xdr:colOff>0</xdr:colOff>
      <xdr:row>6</xdr:row>
      <xdr:rowOff>152400</xdr:rowOff>
    </xdr:to>
    <xdr:sp>
      <xdr:nvSpPr>
        <xdr:cNvPr id="209" name="Line 262"/>
        <xdr:cNvSpPr>
          <a:spLocks/>
        </xdr:cNvSpPr>
      </xdr:nvSpPr>
      <xdr:spPr>
        <a:xfrm>
          <a:off x="7753350" y="685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</xdr:row>
      <xdr:rowOff>38100</xdr:rowOff>
    </xdr:from>
    <xdr:to>
      <xdr:col>29</xdr:col>
      <xdr:colOff>0</xdr:colOff>
      <xdr:row>6</xdr:row>
      <xdr:rowOff>142875</xdr:rowOff>
    </xdr:to>
    <xdr:sp>
      <xdr:nvSpPr>
        <xdr:cNvPr id="210" name="Line 263"/>
        <xdr:cNvSpPr>
          <a:spLocks/>
        </xdr:cNvSpPr>
      </xdr:nvSpPr>
      <xdr:spPr>
        <a:xfrm>
          <a:off x="8972550" y="7143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</xdr:row>
      <xdr:rowOff>0</xdr:rowOff>
    </xdr:from>
    <xdr:to>
      <xdr:col>31</xdr:col>
      <xdr:colOff>0</xdr:colOff>
      <xdr:row>6</xdr:row>
      <xdr:rowOff>161925</xdr:rowOff>
    </xdr:to>
    <xdr:sp>
      <xdr:nvSpPr>
        <xdr:cNvPr id="211" name="Line 264"/>
        <xdr:cNvSpPr>
          <a:spLocks/>
        </xdr:cNvSpPr>
      </xdr:nvSpPr>
      <xdr:spPr>
        <a:xfrm>
          <a:off x="9582150" y="6762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6</xdr:row>
      <xdr:rowOff>180975</xdr:rowOff>
    </xdr:from>
    <xdr:to>
      <xdr:col>33</xdr:col>
      <xdr:colOff>285750</xdr:colOff>
      <xdr:row>6</xdr:row>
      <xdr:rowOff>180975</xdr:rowOff>
    </xdr:to>
    <xdr:sp>
      <xdr:nvSpPr>
        <xdr:cNvPr id="212" name="Line 265"/>
        <xdr:cNvSpPr>
          <a:spLocks/>
        </xdr:cNvSpPr>
      </xdr:nvSpPr>
      <xdr:spPr>
        <a:xfrm>
          <a:off x="9810750" y="1238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238125</xdr:colOff>
      <xdr:row>10</xdr:row>
      <xdr:rowOff>0</xdr:rowOff>
    </xdr:from>
    <xdr:to>
      <xdr:col>33</xdr:col>
      <xdr:colOff>295275</xdr:colOff>
      <xdr:row>10</xdr:row>
      <xdr:rowOff>0</xdr:rowOff>
    </xdr:to>
    <xdr:sp>
      <xdr:nvSpPr>
        <xdr:cNvPr id="213" name="Line 266"/>
        <xdr:cNvSpPr>
          <a:spLocks/>
        </xdr:cNvSpPr>
      </xdr:nvSpPr>
      <xdr:spPr>
        <a:xfrm>
          <a:off x="9820275" y="1885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266700</xdr:colOff>
      <xdr:row>13</xdr:row>
      <xdr:rowOff>180975</xdr:rowOff>
    </xdr:from>
    <xdr:to>
      <xdr:col>33</xdr:col>
      <xdr:colOff>295275</xdr:colOff>
      <xdr:row>13</xdr:row>
      <xdr:rowOff>180975</xdr:rowOff>
    </xdr:to>
    <xdr:sp>
      <xdr:nvSpPr>
        <xdr:cNvPr id="214" name="Line 267"/>
        <xdr:cNvSpPr>
          <a:spLocks/>
        </xdr:cNvSpPr>
      </xdr:nvSpPr>
      <xdr:spPr>
        <a:xfrm>
          <a:off x="9848850" y="2724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18</xdr:row>
      <xdr:rowOff>0</xdr:rowOff>
    </xdr:from>
    <xdr:to>
      <xdr:col>34</xdr:col>
      <xdr:colOff>0</xdr:colOff>
      <xdr:row>18</xdr:row>
      <xdr:rowOff>0</xdr:rowOff>
    </xdr:to>
    <xdr:sp>
      <xdr:nvSpPr>
        <xdr:cNvPr id="215" name="Line 268"/>
        <xdr:cNvSpPr>
          <a:spLocks/>
        </xdr:cNvSpPr>
      </xdr:nvSpPr>
      <xdr:spPr>
        <a:xfrm>
          <a:off x="9810750" y="35242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66675</xdr:rowOff>
    </xdr:from>
    <xdr:to>
      <xdr:col>31</xdr:col>
      <xdr:colOff>0</xdr:colOff>
      <xdr:row>20</xdr:row>
      <xdr:rowOff>161925</xdr:rowOff>
    </xdr:to>
    <xdr:sp>
      <xdr:nvSpPr>
        <xdr:cNvPr id="216" name="Line 269"/>
        <xdr:cNvSpPr>
          <a:spLocks/>
        </xdr:cNvSpPr>
      </xdr:nvSpPr>
      <xdr:spPr>
        <a:xfrm>
          <a:off x="9582150" y="35909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295275</xdr:colOff>
      <xdr:row>18</xdr:row>
      <xdr:rowOff>66675</xdr:rowOff>
    </xdr:from>
    <xdr:to>
      <xdr:col>28</xdr:col>
      <xdr:colOff>295275</xdr:colOff>
      <xdr:row>19</xdr:row>
      <xdr:rowOff>0</xdr:rowOff>
    </xdr:to>
    <xdr:sp>
      <xdr:nvSpPr>
        <xdr:cNvPr id="217" name="Line 270"/>
        <xdr:cNvSpPr>
          <a:spLocks/>
        </xdr:cNvSpPr>
      </xdr:nvSpPr>
      <xdr:spPr>
        <a:xfrm>
          <a:off x="8963025" y="3590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18</xdr:row>
      <xdr:rowOff>38100</xdr:rowOff>
    </xdr:from>
    <xdr:to>
      <xdr:col>26</xdr:col>
      <xdr:colOff>152400</xdr:colOff>
      <xdr:row>19</xdr:row>
      <xdr:rowOff>161925</xdr:rowOff>
    </xdr:to>
    <xdr:sp>
      <xdr:nvSpPr>
        <xdr:cNvPr id="218" name="Line 271"/>
        <xdr:cNvSpPr>
          <a:spLocks/>
        </xdr:cNvSpPr>
      </xdr:nvSpPr>
      <xdr:spPr>
        <a:xfrm>
          <a:off x="8210550" y="356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18</xdr:row>
      <xdr:rowOff>114300</xdr:rowOff>
    </xdr:from>
    <xdr:to>
      <xdr:col>28</xdr:col>
      <xdr:colOff>295275</xdr:colOff>
      <xdr:row>18</xdr:row>
      <xdr:rowOff>114300</xdr:rowOff>
    </xdr:to>
    <xdr:sp>
      <xdr:nvSpPr>
        <xdr:cNvPr id="219" name="Line 272"/>
        <xdr:cNvSpPr>
          <a:spLocks/>
        </xdr:cNvSpPr>
      </xdr:nvSpPr>
      <xdr:spPr>
        <a:xfrm>
          <a:off x="8696325" y="36385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18</xdr:row>
      <xdr:rowOff>114300</xdr:rowOff>
    </xdr:from>
    <xdr:to>
      <xdr:col>26</xdr:col>
      <xdr:colOff>295275</xdr:colOff>
      <xdr:row>18</xdr:row>
      <xdr:rowOff>114300</xdr:rowOff>
    </xdr:to>
    <xdr:sp>
      <xdr:nvSpPr>
        <xdr:cNvPr id="220" name="Line 273"/>
        <xdr:cNvSpPr>
          <a:spLocks/>
        </xdr:cNvSpPr>
      </xdr:nvSpPr>
      <xdr:spPr>
        <a:xfrm flipH="1">
          <a:off x="8210550" y="3638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295275</xdr:colOff>
      <xdr:row>18</xdr:row>
      <xdr:rowOff>114300</xdr:rowOff>
    </xdr:from>
    <xdr:to>
      <xdr:col>29</xdr:col>
      <xdr:colOff>114300</xdr:colOff>
      <xdr:row>18</xdr:row>
      <xdr:rowOff>114300</xdr:rowOff>
    </xdr:to>
    <xdr:sp>
      <xdr:nvSpPr>
        <xdr:cNvPr id="221" name="Line 275"/>
        <xdr:cNvSpPr>
          <a:spLocks/>
        </xdr:cNvSpPr>
      </xdr:nvSpPr>
      <xdr:spPr>
        <a:xfrm flipH="1">
          <a:off x="8963025" y="36385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18</xdr:row>
      <xdr:rowOff>123825</xdr:rowOff>
    </xdr:from>
    <xdr:to>
      <xdr:col>31</xdr:col>
      <xdr:colOff>0</xdr:colOff>
      <xdr:row>18</xdr:row>
      <xdr:rowOff>133350</xdr:rowOff>
    </xdr:to>
    <xdr:sp>
      <xdr:nvSpPr>
        <xdr:cNvPr id="222" name="Line 276"/>
        <xdr:cNvSpPr>
          <a:spLocks/>
        </xdr:cNvSpPr>
      </xdr:nvSpPr>
      <xdr:spPr>
        <a:xfrm>
          <a:off x="9477375" y="3648075"/>
          <a:ext cx="104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17</xdr:row>
      <xdr:rowOff>57150</xdr:rowOff>
    </xdr:from>
    <xdr:to>
      <xdr:col>32</xdr:col>
      <xdr:colOff>19050</xdr:colOff>
      <xdr:row>17</xdr:row>
      <xdr:rowOff>190500</xdr:rowOff>
    </xdr:to>
    <xdr:sp>
      <xdr:nvSpPr>
        <xdr:cNvPr id="223" name="Line 277"/>
        <xdr:cNvSpPr>
          <a:spLocks/>
        </xdr:cNvSpPr>
      </xdr:nvSpPr>
      <xdr:spPr>
        <a:xfrm>
          <a:off x="9906000" y="33813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13</xdr:row>
      <xdr:rowOff>180975</xdr:rowOff>
    </xdr:from>
    <xdr:to>
      <xdr:col>32</xdr:col>
      <xdr:colOff>9525</xdr:colOff>
      <xdr:row>14</xdr:row>
      <xdr:rowOff>0</xdr:rowOff>
    </xdr:to>
    <xdr:sp>
      <xdr:nvSpPr>
        <xdr:cNvPr id="224" name="Line 278"/>
        <xdr:cNvSpPr>
          <a:spLocks/>
        </xdr:cNvSpPr>
      </xdr:nvSpPr>
      <xdr:spPr>
        <a:xfrm flipV="1">
          <a:off x="9896475" y="27241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12</xdr:row>
      <xdr:rowOff>114300</xdr:rowOff>
    </xdr:from>
    <xdr:to>
      <xdr:col>33</xdr:col>
      <xdr:colOff>161925</xdr:colOff>
      <xdr:row>13</xdr:row>
      <xdr:rowOff>180975</xdr:rowOff>
    </xdr:to>
    <xdr:sp>
      <xdr:nvSpPr>
        <xdr:cNvPr id="225" name="Line 279"/>
        <xdr:cNvSpPr>
          <a:spLocks/>
        </xdr:cNvSpPr>
      </xdr:nvSpPr>
      <xdr:spPr>
        <a:xfrm>
          <a:off x="10353675" y="2428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219075</xdr:rowOff>
    </xdr:from>
    <xdr:to>
      <xdr:col>32</xdr:col>
      <xdr:colOff>0</xdr:colOff>
      <xdr:row>11</xdr:row>
      <xdr:rowOff>95250</xdr:rowOff>
    </xdr:to>
    <xdr:sp>
      <xdr:nvSpPr>
        <xdr:cNvPr id="226" name="Line 280"/>
        <xdr:cNvSpPr>
          <a:spLocks/>
        </xdr:cNvSpPr>
      </xdr:nvSpPr>
      <xdr:spPr>
        <a:xfrm flipV="1">
          <a:off x="9886950" y="1876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66675</xdr:rowOff>
    </xdr:from>
    <xdr:to>
      <xdr:col>32</xdr:col>
      <xdr:colOff>0</xdr:colOff>
      <xdr:row>10</xdr:row>
      <xdr:rowOff>0</xdr:rowOff>
    </xdr:to>
    <xdr:sp>
      <xdr:nvSpPr>
        <xdr:cNvPr id="227" name="Line 281"/>
        <xdr:cNvSpPr>
          <a:spLocks/>
        </xdr:cNvSpPr>
      </xdr:nvSpPr>
      <xdr:spPr>
        <a:xfrm>
          <a:off x="9886950" y="1724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6</xdr:row>
      <xdr:rowOff>171450</xdr:rowOff>
    </xdr:from>
    <xdr:to>
      <xdr:col>32</xdr:col>
      <xdr:colOff>19050</xdr:colOff>
      <xdr:row>7</xdr:row>
      <xdr:rowOff>133350</xdr:rowOff>
    </xdr:to>
    <xdr:sp>
      <xdr:nvSpPr>
        <xdr:cNvPr id="228" name="Line 282"/>
        <xdr:cNvSpPr>
          <a:spLocks/>
        </xdr:cNvSpPr>
      </xdr:nvSpPr>
      <xdr:spPr>
        <a:xfrm flipV="1">
          <a:off x="9906000" y="1228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95250</xdr:rowOff>
    </xdr:from>
    <xdr:to>
      <xdr:col>29</xdr:col>
      <xdr:colOff>133350</xdr:colOff>
      <xdr:row>6</xdr:row>
      <xdr:rowOff>95250</xdr:rowOff>
    </xdr:to>
    <xdr:sp>
      <xdr:nvSpPr>
        <xdr:cNvPr id="229" name="Line 283"/>
        <xdr:cNvSpPr>
          <a:spLocks/>
        </xdr:cNvSpPr>
      </xdr:nvSpPr>
      <xdr:spPr>
        <a:xfrm flipH="1">
          <a:off x="8972550" y="1152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6</xdr:row>
      <xdr:rowOff>104775</xdr:rowOff>
    </xdr:from>
    <xdr:to>
      <xdr:col>31</xdr:col>
      <xdr:colOff>9525</xdr:colOff>
      <xdr:row>6</xdr:row>
      <xdr:rowOff>104775</xdr:rowOff>
    </xdr:to>
    <xdr:sp>
      <xdr:nvSpPr>
        <xdr:cNvPr id="230" name="Line 284"/>
        <xdr:cNvSpPr>
          <a:spLocks/>
        </xdr:cNvSpPr>
      </xdr:nvSpPr>
      <xdr:spPr>
        <a:xfrm>
          <a:off x="9439275" y="1162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0</xdr:colOff>
      <xdr:row>11</xdr:row>
      <xdr:rowOff>219075</xdr:rowOff>
    </xdr:to>
    <xdr:sp>
      <xdr:nvSpPr>
        <xdr:cNvPr id="231" name="Line 285"/>
        <xdr:cNvSpPr>
          <a:spLocks/>
        </xdr:cNvSpPr>
      </xdr:nvSpPr>
      <xdr:spPr>
        <a:xfrm flipV="1">
          <a:off x="6838950" y="12573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13</xdr:row>
      <xdr:rowOff>38100</xdr:rowOff>
    </xdr:from>
    <xdr:to>
      <xdr:col>21</xdr:col>
      <xdr:colOff>285750</xdr:colOff>
      <xdr:row>18</xdr:row>
      <xdr:rowOff>9525</xdr:rowOff>
    </xdr:to>
    <xdr:sp>
      <xdr:nvSpPr>
        <xdr:cNvPr id="232" name="Line 286"/>
        <xdr:cNvSpPr>
          <a:spLocks/>
        </xdr:cNvSpPr>
      </xdr:nvSpPr>
      <xdr:spPr>
        <a:xfrm>
          <a:off x="6819900" y="258127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219075</xdr:colOff>
      <xdr:row>17</xdr:row>
      <xdr:rowOff>190500</xdr:rowOff>
    </xdr:from>
    <xdr:to>
      <xdr:col>22</xdr:col>
      <xdr:colOff>66675</xdr:colOff>
      <xdr:row>17</xdr:row>
      <xdr:rowOff>190500</xdr:rowOff>
    </xdr:to>
    <xdr:sp>
      <xdr:nvSpPr>
        <xdr:cNvPr id="233" name="Line 287"/>
        <xdr:cNvSpPr>
          <a:spLocks/>
        </xdr:cNvSpPr>
      </xdr:nvSpPr>
      <xdr:spPr>
        <a:xfrm>
          <a:off x="6753225" y="351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219075</xdr:colOff>
      <xdr:row>7</xdr:row>
      <xdr:rowOff>0</xdr:rowOff>
    </xdr:from>
    <xdr:to>
      <xdr:col>22</xdr:col>
      <xdr:colOff>123825</xdr:colOff>
      <xdr:row>7</xdr:row>
      <xdr:rowOff>0</xdr:rowOff>
    </xdr:to>
    <xdr:sp>
      <xdr:nvSpPr>
        <xdr:cNvPr id="234" name="Line 288"/>
        <xdr:cNvSpPr>
          <a:spLocks/>
        </xdr:cNvSpPr>
      </xdr:nvSpPr>
      <xdr:spPr>
        <a:xfrm>
          <a:off x="6753225" y="12573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20</xdr:row>
      <xdr:rowOff>104775</xdr:rowOff>
    </xdr:from>
    <xdr:to>
      <xdr:col>31</xdr:col>
      <xdr:colOff>9525</xdr:colOff>
      <xdr:row>20</xdr:row>
      <xdr:rowOff>104775</xdr:rowOff>
    </xdr:to>
    <xdr:sp>
      <xdr:nvSpPr>
        <xdr:cNvPr id="235" name="Line 289"/>
        <xdr:cNvSpPr>
          <a:spLocks/>
        </xdr:cNvSpPr>
      </xdr:nvSpPr>
      <xdr:spPr>
        <a:xfrm>
          <a:off x="8639175" y="4029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95250</xdr:rowOff>
    </xdr:from>
    <xdr:to>
      <xdr:col>26</xdr:col>
      <xdr:colOff>66675</xdr:colOff>
      <xdr:row>20</xdr:row>
      <xdr:rowOff>95250</xdr:rowOff>
    </xdr:to>
    <xdr:sp>
      <xdr:nvSpPr>
        <xdr:cNvPr id="236" name="Line 290"/>
        <xdr:cNvSpPr>
          <a:spLocks/>
        </xdr:cNvSpPr>
      </xdr:nvSpPr>
      <xdr:spPr>
        <a:xfrm flipH="1">
          <a:off x="7153275" y="40195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28575</xdr:rowOff>
    </xdr:from>
    <xdr:to>
      <xdr:col>23</xdr:col>
      <xdr:colOff>9525</xdr:colOff>
      <xdr:row>21</xdr:row>
      <xdr:rowOff>0</xdr:rowOff>
    </xdr:to>
    <xdr:sp>
      <xdr:nvSpPr>
        <xdr:cNvPr id="237" name="Line 291"/>
        <xdr:cNvSpPr>
          <a:spLocks/>
        </xdr:cNvSpPr>
      </xdr:nvSpPr>
      <xdr:spPr>
        <a:xfrm>
          <a:off x="7153275" y="39528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10</xdr:row>
      <xdr:rowOff>19050</xdr:rowOff>
    </xdr:from>
    <xdr:to>
      <xdr:col>28</xdr:col>
      <xdr:colOff>152400</xdr:colOff>
      <xdr:row>11</xdr:row>
      <xdr:rowOff>114300</xdr:rowOff>
    </xdr:to>
    <xdr:sp>
      <xdr:nvSpPr>
        <xdr:cNvPr id="238" name="Line 293"/>
        <xdr:cNvSpPr>
          <a:spLocks/>
        </xdr:cNvSpPr>
      </xdr:nvSpPr>
      <xdr:spPr>
        <a:xfrm flipV="1">
          <a:off x="8820150" y="1905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</xdr:row>
      <xdr:rowOff>76200</xdr:rowOff>
    </xdr:from>
    <xdr:to>
      <xdr:col>29</xdr:col>
      <xdr:colOff>9525</xdr:colOff>
      <xdr:row>5</xdr:row>
      <xdr:rowOff>76200</xdr:rowOff>
    </xdr:to>
    <xdr:sp>
      <xdr:nvSpPr>
        <xdr:cNvPr id="239" name="Line 295"/>
        <xdr:cNvSpPr>
          <a:spLocks/>
        </xdr:cNvSpPr>
      </xdr:nvSpPr>
      <xdr:spPr>
        <a:xfrm>
          <a:off x="8715375" y="952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295275</xdr:colOff>
      <xdr:row>5</xdr:row>
      <xdr:rowOff>76200</xdr:rowOff>
    </xdr:from>
    <xdr:to>
      <xdr:col>25</xdr:col>
      <xdr:colOff>123825</xdr:colOff>
      <xdr:row>5</xdr:row>
      <xdr:rowOff>76200</xdr:rowOff>
    </xdr:to>
    <xdr:sp>
      <xdr:nvSpPr>
        <xdr:cNvPr id="240" name="Line 296"/>
        <xdr:cNvSpPr>
          <a:spLocks/>
        </xdr:cNvSpPr>
      </xdr:nvSpPr>
      <xdr:spPr>
        <a:xfrm flipH="1">
          <a:off x="7743825" y="9525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133350</xdr:colOff>
      <xdr:row>13</xdr:row>
      <xdr:rowOff>114300</xdr:rowOff>
    </xdr:from>
    <xdr:to>
      <xdr:col>29</xdr:col>
      <xdr:colOff>0</xdr:colOff>
      <xdr:row>13</xdr:row>
      <xdr:rowOff>114300</xdr:rowOff>
    </xdr:to>
    <xdr:sp>
      <xdr:nvSpPr>
        <xdr:cNvPr id="241" name="Line 298"/>
        <xdr:cNvSpPr>
          <a:spLocks/>
        </xdr:cNvSpPr>
      </xdr:nvSpPr>
      <xdr:spPr>
        <a:xfrm>
          <a:off x="8801100" y="2657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104775</xdr:rowOff>
    </xdr:from>
    <xdr:to>
      <xdr:col>26</xdr:col>
      <xdr:colOff>152400</xdr:colOff>
      <xdr:row>13</xdr:row>
      <xdr:rowOff>104775</xdr:rowOff>
    </xdr:to>
    <xdr:sp>
      <xdr:nvSpPr>
        <xdr:cNvPr id="242" name="Line 299"/>
        <xdr:cNvSpPr>
          <a:spLocks/>
        </xdr:cNvSpPr>
      </xdr:nvSpPr>
      <xdr:spPr>
        <a:xfrm>
          <a:off x="8058150" y="2647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13</xdr:row>
      <xdr:rowOff>38100</xdr:rowOff>
    </xdr:from>
    <xdr:to>
      <xdr:col>26</xdr:col>
      <xdr:colOff>152400</xdr:colOff>
      <xdr:row>13</xdr:row>
      <xdr:rowOff>161925</xdr:rowOff>
    </xdr:to>
    <xdr:sp>
      <xdr:nvSpPr>
        <xdr:cNvPr id="243" name="Line 300"/>
        <xdr:cNvSpPr>
          <a:spLocks/>
        </xdr:cNvSpPr>
      </xdr:nvSpPr>
      <xdr:spPr>
        <a:xfrm>
          <a:off x="8210550" y="25812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12</xdr:row>
      <xdr:rowOff>133350</xdr:rowOff>
    </xdr:from>
    <xdr:to>
      <xdr:col>28</xdr:col>
      <xdr:colOff>152400</xdr:colOff>
      <xdr:row>14</xdr:row>
      <xdr:rowOff>0</xdr:rowOff>
    </xdr:to>
    <xdr:sp>
      <xdr:nvSpPr>
        <xdr:cNvPr id="244" name="Line 301"/>
        <xdr:cNvSpPr>
          <a:spLocks/>
        </xdr:cNvSpPr>
      </xdr:nvSpPr>
      <xdr:spPr>
        <a:xfrm>
          <a:off x="8820150" y="24479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190500</xdr:colOff>
      <xdr:row>6</xdr:row>
      <xdr:rowOff>104775</xdr:rowOff>
    </xdr:from>
    <xdr:to>
      <xdr:col>25</xdr:col>
      <xdr:colOff>9525</xdr:colOff>
      <xdr:row>6</xdr:row>
      <xdr:rowOff>104775</xdr:rowOff>
    </xdr:to>
    <xdr:sp>
      <xdr:nvSpPr>
        <xdr:cNvPr id="245" name="Line 302"/>
        <xdr:cNvSpPr>
          <a:spLocks/>
        </xdr:cNvSpPr>
      </xdr:nvSpPr>
      <xdr:spPr>
        <a:xfrm>
          <a:off x="7639050" y="11620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295275</xdr:colOff>
      <xdr:row>6</xdr:row>
      <xdr:rowOff>104775</xdr:rowOff>
    </xdr:from>
    <xdr:to>
      <xdr:col>23</xdr:col>
      <xdr:colOff>152400</xdr:colOff>
      <xdr:row>6</xdr:row>
      <xdr:rowOff>104775</xdr:rowOff>
    </xdr:to>
    <xdr:sp>
      <xdr:nvSpPr>
        <xdr:cNvPr id="246" name="Line 303"/>
        <xdr:cNvSpPr>
          <a:spLocks/>
        </xdr:cNvSpPr>
      </xdr:nvSpPr>
      <xdr:spPr>
        <a:xfrm flipH="1">
          <a:off x="7134225" y="11620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104775</xdr:rowOff>
    </xdr:from>
    <xdr:to>
      <xdr:col>26</xdr:col>
      <xdr:colOff>47625</xdr:colOff>
      <xdr:row>6</xdr:row>
      <xdr:rowOff>104775</xdr:rowOff>
    </xdr:to>
    <xdr:sp>
      <xdr:nvSpPr>
        <xdr:cNvPr id="247" name="Line 304"/>
        <xdr:cNvSpPr>
          <a:spLocks/>
        </xdr:cNvSpPr>
      </xdr:nvSpPr>
      <xdr:spPr>
        <a:xfrm flipH="1">
          <a:off x="7753350" y="11620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247650</xdr:colOff>
      <xdr:row>6</xdr:row>
      <xdr:rowOff>104775</xdr:rowOff>
    </xdr:from>
    <xdr:to>
      <xdr:col>29</xdr:col>
      <xdr:colOff>9525</xdr:colOff>
      <xdr:row>6</xdr:row>
      <xdr:rowOff>104775</xdr:rowOff>
    </xdr:to>
    <xdr:sp>
      <xdr:nvSpPr>
        <xdr:cNvPr id="248" name="Line 305"/>
        <xdr:cNvSpPr>
          <a:spLocks/>
        </xdr:cNvSpPr>
      </xdr:nvSpPr>
      <xdr:spPr>
        <a:xfrm>
          <a:off x="8610600" y="11620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4</xdr:row>
      <xdr:rowOff>114300</xdr:rowOff>
    </xdr:from>
    <xdr:to>
      <xdr:col>31</xdr:col>
      <xdr:colOff>9525</xdr:colOff>
      <xdr:row>4</xdr:row>
      <xdr:rowOff>114300</xdr:rowOff>
    </xdr:to>
    <xdr:sp>
      <xdr:nvSpPr>
        <xdr:cNvPr id="249" name="Line 306"/>
        <xdr:cNvSpPr>
          <a:spLocks/>
        </xdr:cNvSpPr>
      </xdr:nvSpPr>
      <xdr:spPr>
        <a:xfrm>
          <a:off x="9458325" y="7905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6</xdr:row>
      <xdr:rowOff>180975</xdr:rowOff>
    </xdr:from>
    <xdr:to>
      <xdr:col>33</xdr:col>
      <xdr:colOff>161925</xdr:colOff>
      <xdr:row>8</xdr:row>
      <xdr:rowOff>0</xdr:rowOff>
    </xdr:to>
    <xdr:sp>
      <xdr:nvSpPr>
        <xdr:cNvPr id="250" name="Line 307"/>
        <xdr:cNvSpPr>
          <a:spLocks/>
        </xdr:cNvSpPr>
      </xdr:nvSpPr>
      <xdr:spPr>
        <a:xfrm flipV="1">
          <a:off x="10353675" y="12382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9</xdr:row>
      <xdr:rowOff>76200</xdr:rowOff>
    </xdr:from>
    <xdr:to>
      <xdr:col>33</xdr:col>
      <xdr:colOff>152400</xdr:colOff>
      <xdr:row>10</xdr:row>
      <xdr:rowOff>9525</xdr:rowOff>
    </xdr:to>
    <xdr:sp>
      <xdr:nvSpPr>
        <xdr:cNvPr id="251" name="Line 308"/>
        <xdr:cNvSpPr>
          <a:spLocks/>
        </xdr:cNvSpPr>
      </xdr:nvSpPr>
      <xdr:spPr>
        <a:xfrm>
          <a:off x="10344150" y="17335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9</xdr:row>
      <xdr:rowOff>219075</xdr:rowOff>
    </xdr:from>
    <xdr:to>
      <xdr:col>33</xdr:col>
      <xdr:colOff>152400</xdr:colOff>
      <xdr:row>11</xdr:row>
      <xdr:rowOff>9525</xdr:rowOff>
    </xdr:to>
    <xdr:sp>
      <xdr:nvSpPr>
        <xdr:cNvPr id="252" name="Line 309"/>
        <xdr:cNvSpPr>
          <a:spLocks/>
        </xdr:cNvSpPr>
      </xdr:nvSpPr>
      <xdr:spPr>
        <a:xfrm flipV="1">
          <a:off x="10344150" y="18764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13</xdr:row>
      <xdr:rowOff>171450</xdr:rowOff>
    </xdr:from>
    <xdr:to>
      <xdr:col>33</xdr:col>
      <xdr:colOff>161925</xdr:colOff>
      <xdr:row>14</xdr:row>
      <xdr:rowOff>0</xdr:rowOff>
    </xdr:to>
    <xdr:sp>
      <xdr:nvSpPr>
        <xdr:cNvPr id="253" name="Line 310"/>
        <xdr:cNvSpPr>
          <a:spLocks/>
        </xdr:cNvSpPr>
      </xdr:nvSpPr>
      <xdr:spPr>
        <a:xfrm flipV="1">
          <a:off x="10353675" y="27146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17</xdr:row>
      <xdr:rowOff>57150</xdr:rowOff>
    </xdr:from>
    <xdr:to>
      <xdr:col>33</xdr:col>
      <xdr:colOff>161925</xdr:colOff>
      <xdr:row>18</xdr:row>
      <xdr:rowOff>0</xdr:rowOff>
    </xdr:to>
    <xdr:sp>
      <xdr:nvSpPr>
        <xdr:cNvPr id="254" name="Line 311"/>
        <xdr:cNvSpPr>
          <a:spLocks/>
        </xdr:cNvSpPr>
      </xdr:nvSpPr>
      <xdr:spPr>
        <a:xfrm>
          <a:off x="10353675" y="3381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295275</xdr:colOff>
      <xdr:row>4</xdr:row>
      <xdr:rowOff>95250</xdr:rowOff>
    </xdr:from>
    <xdr:to>
      <xdr:col>29</xdr:col>
      <xdr:colOff>133350</xdr:colOff>
      <xdr:row>4</xdr:row>
      <xdr:rowOff>95250</xdr:rowOff>
    </xdr:to>
    <xdr:sp>
      <xdr:nvSpPr>
        <xdr:cNvPr id="255" name="Line 312"/>
        <xdr:cNvSpPr>
          <a:spLocks/>
        </xdr:cNvSpPr>
      </xdr:nvSpPr>
      <xdr:spPr>
        <a:xfrm flipH="1">
          <a:off x="8963025" y="7715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19</xdr:row>
      <xdr:rowOff>104775</xdr:rowOff>
    </xdr:from>
    <xdr:to>
      <xdr:col>28</xdr:col>
      <xdr:colOff>76200</xdr:colOff>
      <xdr:row>19</xdr:row>
      <xdr:rowOff>104775</xdr:rowOff>
    </xdr:to>
    <xdr:sp>
      <xdr:nvSpPr>
        <xdr:cNvPr id="256" name="Line 329"/>
        <xdr:cNvSpPr>
          <a:spLocks/>
        </xdr:cNvSpPr>
      </xdr:nvSpPr>
      <xdr:spPr>
        <a:xfrm flipH="1">
          <a:off x="8210550" y="3829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219075</xdr:colOff>
      <xdr:row>19</xdr:row>
      <xdr:rowOff>114300</xdr:rowOff>
    </xdr:from>
    <xdr:to>
      <xdr:col>31</xdr:col>
      <xdr:colOff>0</xdr:colOff>
      <xdr:row>19</xdr:row>
      <xdr:rowOff>114300</xdr:rowOff>
    </xdr:to>
    <xdr:sp>
      <xdr:nvSpPr>
        <xdr:cNvPr id="257" name="Line 330"/>
        <xdr:cNvSpPr>
          <a:spLocks/>
        </xdr:cNvSpPr>
      </xdr:nvSpPr>
      <xdr:spPr>
        <a:xfrm>
          <a:off x="9191625" y="3838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41</xdr:row>
      <xdr:rowOff>114300</xdr:rowOff>
    </xdr:from>
    <xdr:to>
      <xdr:col>16</xdr:col>
      <xdr:colOff>19050</xdr:colOff>
      <xdr:row>41</xdr:row>
      <xdr:rowOff>114300</xdr:rowOff>
    </xdr:to>
    <xdr:sp>
      <xdr:nvSpPr>
        <xdr:cNvPr id="258" name="Line 333"/>
        <xdr:cNvSpPr>
          <a:spLocks/>
        </xdr:cNvSpPr>
      </xdr:nvSpPr>
      <xdr:spPr>
        <a:xfrm>
          <a:off x="3638550" y="101250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41</xdr:row>
      <xdr:rowOff>114300</xdr:rowOff>
    </xdr:from>
    <xdr:to>
      <xdr:col>10</xdr:col>
      <xdr:colOff>133350</xdr:colOff>
      <xdr:row>41</xdr:row>
      <xdr:rowOff>114300</xdr:rowOff>
    </xdr:to>
    <xdr:sp>
      <xdr:nvSpPr>
        <xdr:cNvPr id="259" name="Line 334"/>
        <xdr:cNvSpPr>
          <a:spLocks/>
        </xdr:cNvSpPr>
      </xdr:nvSpPr>
      <xdr:spPr>
        <a:xfrm flipH="1">
          <a:off x="1514475" y="101250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41</xdr:row>
      <xdr:rowOff>85725</xdr:rowOff>
    </xdr:from>
    <xdr:to>
      <xdr:col>16</xdr:col>
      <xdr:colOff>9525</xdr:colOff>
      <xdr:row>41</xdr:row>
      <xdr:rowOff>142875</xdr:rowOff>
    </xdr:to>
    <xdr:sp>
      <xdr:nvSpPr>
        <xdr:cNvPr id="260" name="Line 335"/>
        <xdr:cNvSpPr>
          <a:spLocks/>
        </xdr:cNvSpPr>
      </xdr:nvSpPr>
      <xdr:spPr>
        <a:xfrm flipV="1">
          <a:off x="4886325" y="100965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41</xdr:row>
      <xdr:rowOff>66675</xdr:rowOff>
    </xdr:from>
    <xdr:to>
      <xdr:col>4</xdr:col>
      <xdr:colOff>295275</xdr:colOff>
      <xdr:row>41</xdr:row>
      <xdr:rowOff>152400</xdr:rowOff>
    </xdr:to>
    <xdr:sp>
      <xdr:nvSpPr>
        <xdr:cNvPr id="261" name="Line 336"/>
        <xdr:cNvSpPr>
          <a:spLocks/>
        </xdr:cNvSpPr>
      </xdr:nvSpPr>
      <xdr:spPr>
        <a:xfrm flipV="1">
          <a:off x="1514475" y="100774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23</xdr:row>
      <xdr:rowOff>0</xdr:rowOff>
    </xdr:from>
    <xdr:to>
      <xdr:col>1</xdr:col>
      <xdr:colOff>295275</xdr:colOff>
      <xdr:row>25</xdr:row>
      <xdr:rowOff>38100</xdr:rowOff>
    </xdr:to>
    <xdr:sp>
      <xdr:nvSpPr>
        <xdr:cNvPr id="262" name="Line 337"/>
        <xdr:cNvSpPr>
          <a:spLocks/>
        </xdr:cNvSpPr>
      </xdr:nvSpPr>
      <xdr:spPr>
        <a:xfrm>
          <a:off x="600075" y="45053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33</xdr:row>
      <xdr:rowOff>133350</xdr:rowOff>
    </xdr:from>
    <xdr:to>
      <xdr:col>19</xdr:col>
      <xdr:colOff>304800</xdr:colOff>
      <xdr:row>33</xdr:row>
      <xdr:rowOff>133350</xdr:rowOff>
    </xdr:to>
    <xdr:sp>
      <xdr:nvSpPr>
        <xdr:cNvPr id="263" name="Line 339"/>
        <xdr:cNvSpPr>
          <a:spLocks/>
        </xdr:cNvSpPr>
      </xdr:nvSpPr>
      <xdr:spPr>
        <a:xfrm>
          <a:off x="5934075" y="86201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32</xdr:row>
      <xdr:rowOff>180975</xdr:rowOff>
    </xdr:from>
    <xdr:to>
      <xdr:col>19</xdr:col>
      <xdr:colOff>266700</xdr:colOff>
      <xdr:row>32</xdr:row>
      <xdr:rowOff>180975</xdr:rowOff>
    </xdr:to>
    <xdr:sp>
      <xdr:nvSpPr>
        <xdr:cNvPr id="264" name="Line 340"/>
        <xdr:cNvSpPr>
          <a:spLocks/>
        </xdr:cNvSpPr>
      </xdr:nvSpPr>
      <xdr:spPr>
        <a:xfrm>
          <a:off x="5924550" y="8477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33</xdr:row>
      <xdr:rowOff>123825</xdr:rowOff>
    </xdr:from>
    <xdr:to>
      <xdr:col>19</xdr:col>
      <xdr:colOff>171450</xdr:colOff>
      <xdr:row>34</xdr:row>
      <xdr:rowOff>47625</xdr:rowOff>
    </xdr:to>
    <xdr:sp>
      <xdr:nvSpPr>
        <xdr:cNvPr id="265" name="Line 341"/>
        <xdr:cNvSpPr>
          <a:spLocks/>
        </xdr:cNvSpPr>
      </xdr:nvSpPr>
      <xdr:spPr>
        <a:xfrm flipV="1">
          <a:off x="6000750" y="86106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32</xdr:row>
      <xdr:rowOff>57150</xdr:rowOff>
    </xdr:from>
    <xdr:to>
      <xdr:col>19</xdr:col>
      <xdr:colOff>171450</xdr:colOff>
      <xdr:row>32</xdr:row>
      <xdr:rowOff>180975</xdr:rowOff>
    </xdr:to>
    <xdr:sp>
      <xdr:nvSpPr>
        <xdr:cNvPr id="266" name="Line 342"/>
        <xdr:cNvSpPr>
          <a:spLocks/>
        </xdr:cNvSpPr>
      </xdr:nvSpPr>
      <xdr:spPr>
        <a:xfrm>
          <a:off x="6000750" y="83534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42</xdr:row>
      <xdr:rowOff>0</xdr:rowOff>
    </xdr:from>
    <xdr:to>
      <xdr:col>16</xdr:col>
      <xdr:colOff>266700</xdr:colOff>
      <xdr:row>42</xdr:row>
      <xdr:rowOff>0</xdr:rowOff>
    </xdr:to>
    <xdr:sp>
      <xdr:nvSpPr>
        <xdr:cNvPr id="267" name="Line 343"/>
        <xdr:cNvSpPr>
          <a:spLocks/>
        </xdr:cNvSpPr>
      </xdr:nvSpPr>
      <xdr:spPr>
        <a:xfrm>
          <a:off x="4953000" y="10201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43</xdr:row>
      <xdr:rowOff>180975</xdr:rowOff>
    </xdr:from>
    <xdr:to>
      <xdr:col>16</xdr:col>
      <xdr:colOff>257175</xdr:colOff>
      <xdr:row>43</xdr:row>
      <xdr:rowOff>180975</xdr:rowOff>
    </xdr:to>
    <xdr:sp>
      <xdr:nvSpPr>
        <xdr:cNvPr id="268" name="Line 344"/>
        <xdr:cNvSpPr>
          <a:spLocks/>
        </xdr:cNvSpPr>
      </xdr:nvSpPr>
      <xdr:spPr>
        <a:xfrm>
          <a:off x="4962525" y="105727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41</xdr:row>
      <xdr:rowOff>47625</xdr:rowOff>
    </xdr:from>
    <xdr:to>
      <xdr:col>16</xdr:col>
      <xdr:colOff>152400</xdr:colOff>
      <xdr:row>42</xdr:row>
      <xdr:rowOff>9525</xdr:rowOff>
    </xdr:to>
    <xdr:sp>
      <xdr:nvSpPr>
        <xdr:cNvPr id="269" name="Line 345"/>
        <xdr:cNvSpPr>
          <a:spLocks/>
        </xdr:cNvSpPr>
      </xdr:nvSpPr>
      <xdr:spPr>
        <a:xfrm>
          <a:off x="5029200" y="1005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43</xdr:row>
      <xdr:rowOff>171450</xdr:rowOff>
    </xdr:from>
    <xdr:to>
      <xdr:col>16</xdr:col>
      <xdr:colOff>152400</xdr:colOff>
      <xdr:row>44</xdr:row>
      <xdr:rowOff>133350</xdr:rowOff>
    </xdr:to>
    <xdr:sp>
      <xdr:nvSpPr>
        <xdr:cNvPr id="270" name="Line 346"/>
        <xdr:cNvSpPr>
          <a:spLocks/>
        </xdr:cNvSpPr>
      </xdr:nvSpPr>
      <xdr:spPr>
        <a:xfrm flipV="1">
          <a:off x="5029200" y="10563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33</xdr:row>
      <xdr:rowOff>85725</xdr:rowOff>
    </xdr:from>
    <xdr:to>
      <xdr:col>18</xdr:col>
      <xdr:colOff>200025</xdr:colOff>
      <xdr:row>34</xdr:row>
      <xdr:rowOff>57150</xdr:rowOff>
    </xdr:to>
    <xdr:sp>
      <xdr:nvSpPr>
        <xdr:cNvPr id="271" name="Line 347"/>
        <xdr:cNvSpPr>
          <a:spLocks/>
        </xdr:cNvSpPr>
      </xdr:nvSpPr>
      <xdr:spPr>
        <a:xfrm flipH="1" flipV="1">
          <a:off x="5495925" y="8572500"/>
          <a:ext cx="190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33</xdr:row>
      <xdr:rowOff>57150</xdr:rowOff>
    </xdr:from>
    <xdr:to>
      <xdr:col>18</xdr:col>
      <xdr:colOff>285750</xdr:colOff>
      <xdr:row>34</xdr:row>
      <xdr:rowOff>66675</xdr:rowOff>
    </xdr:to>
    <xdr:sp>
      <xdr:nvSpPr>
        <xdr:cNvPr id="272" name="Line 348"/>
        <xdr:cNvSpPr>
          <a:spLocks/>
        </xdr:cNvSpPr>
      </xdr:nvSpPr>
      <xdr:spPr>
        <a:xfrm flipV="1">
          <a:off x="5676900" y="8543925"/>
          <a:ext cx="952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114300</xdr:rowOff>
    </xdr:from>
    <xdr:to>
      <xdr:col>9</xdr:col>
      <xdr:colOff>85725</xdr:colOff>
      <xdr:row>47</xdr:row>
      <xdr:rowOff>114300</xdr:rowOff>
    </xdr:to>
    <xdr:sp>
      <xdr:nvSpPr>
        <xdr:cNvPr id="273" name="Line 350"/>
        <xdr:cNvSpPr>
          <a:spLocks/>
        </xdr:cNvSpPr>
      </xdr:nvSpPr>
      <xdr:spPr>
        <a:xfrm>
          <a:off x="2133600" y="112680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43</xdr:row>
      <xdr:rowOff>57150</xdr:rowOff>
    </xdr:from>
    <xdr:to>
      <xdr:col>8</xdr:col>
      <xdr:colOff>257175</xdr:colOff>
      <xdr:row>43</xdr:row>
      <xdr:rowOff>57150</xdr:rowOff>
    </xdr:to>
    <xdr:sp>
      <xdr:nvSpPr>
        <xdr:cNvPr id="274" name="Line 351"/>
        <xdr:cNvSpPr>
          <a:spLocks/>
        </xdr:cNvSpPr>
      </xdr:nvSpPr>
      <xdr:spPr>
        <a:xfrm>
          <a:off x="2324100" y="10448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42</xdr:row>
      <xdr:rowOff>114300</xdr:rowOff>
    </xdr:from>
    <xdr:to>
      <xdr:col>8</xdr:col>
      <xdr:colOff>266700</xdr:colOff>
      <xdr:row>43</xdr:row>
      <xdr:rowOff>57150</xdr:rowOff>
    </xdr:to>
    <xdr:sp>
      <xdr:nvSpPr>
        <xdr:cNvPr id="275" name="Line 352"/>
        <xdr:cNvSpPr>
          <a:spLocks/>
        </xdr:cNvSpPr>
      </xdr:nvSpPr>
      <xdr:spPr>
        <a:xfrm flipV="1">
          <a:off x="2705100" y="103155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43</xdr:row>
      <xdr:rowOff>66675</xdr:rowOff>
    </xdr:from>
    <xdr:to>
      <xdr:col>7</xdr:col>
      <xdr:colOff>285750</xdr:colOff>
      <xdr:row>45</xdr:row>
      <xdr:rowOff>104775</xdr:rowOff>
    </xdr:to>
    <xdr:sp>
      <xdr:nvSpPr>
        <xdr:cNvPr id="276" name="Line 353"/>
        <xdr:cNvSpPr>
          <a:spLocks/>
        </xdr:cNvSpPr>
      </xdr:nvSpPr>
      <xdr:spPr>
        <a:xfrm>
          <a:off x="2419350" y="104584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45</xdr:row>
      <xdr:rowOff>104775</xdr:rowOff>
    </xdr:from>
    <xdr:to>
      <xdr:col>7</xdr:col>
      <xdr:colOff>285750</xdr:colOff>
      <xdr:row>45</xdr:row>
      <xdr:rowOff>104775</xdr:rowOff>
    </xdr:to>
    <xdr:sp>
      <xdr:nvSpPr>
        <xdr:cNvPr id="277" name="Line 354"/>
        <xdr:cNvSpPr>
          <a:spLocks/>
        </xdr:cNvSpPr>
      </xdr:nvSpPr>
      <xdr:spPr>
        <a:xfrm flipH="1">
          <a:off x="2124075" y="108775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24</xdr:row>
      <xdr:rowOff>19050</xdr:rowOff>
    </xdr:from>
    <xdr:to>
      <xdr:col>7</xdr:col>
      <xdr:colOff>0</xdr:colOff>
      <xdr:row>25</xdr:row>
      <xdr:rowOff>47625</xdr:rowOff>
    </xdr:to>
    <xdr:sp>
      <xdr:nvSpPr>
        <xdr:cNvPr id="278" name="AutoShape 355"/>
        <xdr:cNvSpPr>
          <a:spLocks/>
        </xdr:cNvSpPr>
      </xdr:nvSpPr>
      <xdr:spPr>
        <a:xfrm rot="10800000">
          <a:off x="1771650" y="4714875"/>
          <a:ext cx="361950" cy="219075"/>
        </a:xfrm>
        <a:prstGeom prst="rtTriangl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25</xdr:row>
      <xdr:rowOff>9525</xdr:rowOff>
    </xdr:from>
    <xdr:to>
      <xdr:col>8</xdr:col>
      <xdr:colOff>9525</xdr:colOff>
      <xdr:row>26</xdr:row>
      <xdr:rowOff>57150</xdr:rowOff>
    </xdr:to>
    <xdr:sp>
      <xdr:nvSpPr>
        <xdr:cNvPr id="279" name="AutoShape 356"/>
        <xdr:cNvSpPr>
          <a:spLocks/>
        </xdr:cNvSpPr>
      </xdr:nvSpPr>
      <xdr:spPr>
        <a:xfrm rot="10800000">
          <a:off x="2076450" y="4895850"/>
          <a:ext cx="371475" cy="238125"/>
        </a:xfrm>
        <a:prstGeom prst="rtTriangl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26</xdr:row>
      <xdr:rowOff>9525</xdr:rowOff>
    </xdr:from>
    <xdr:to>
      <xdr:col>9</xdr:col>
      <xdr:colOff>19050</xdr:colOff>
      <xdr:row>27</xdr:row>
      <xdr:rowOff>685800</xdr:rowOff>
    </xdr:to>
    <xdr:sp>
      <xdr:nvSpPr>
        <xdr:cNvPr id="280" name="AutoShape 357"/>
        <xdr:cNvSpPr>
          <a:spLocks/>
        </xdr:cNvSpPr>
      </xdr:nvSpPr>
      <xdr:spPr>
        <a:xfrm rot="10800000">
          <a:off x="2371725" y="5086350"/>
          <a:ext cx="390525" cy="866775"/>
        </a:xfrm>
        <a:prstGeom prst="rtTriangl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27</xdr:row>
      <xdr:rowOff>228600</xdr:rowOff>
    </xdr:from>
    <xdr:to>
      <xdr:col>10</xdr:col>
      <xdr:colOff>0</xdr:colOff>
      <xdr:row>28</xdr:row>
      <xdr:rowOff>66675</xdr:rowOff>
    </xdr:to>
    <xdr:sp>
      <xdr:nvSpPr>
        <xdr:cNvPr id="281" name="AutoShape 358"/>
        <xdr:cNvSpPr>
          <a:spLocks/>
        </xdr:cNvSpPr>
      </xdr:nvSpPr>
      <xdr:spPr>
        <a:xfrm rot="10800000">
          <a:off x="2676525" y="5495925"/>
          <a:ext cx="371475" cy="2105025"/>
        </a:xfrm>
        <a:prstGeom prst="rtTriangl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31</xdr:row>
      <xdr:rowOff>9525</xdr:rowOff>
    </xdr:from>
    <xdr:to>
      <xdr:col>14</xdr:col>
      <xdr:colOff>0</xdr:colOff>
      <xdr:row>32</xdr:row>
      <xdr:rowOff>57150</xdr:rowOff>
    </xdr:to>
    <xdr:sp>
      <xdr:nvSpPr>
        <xdr:cNvPr id="282" name="AutoShape 359"/>
        <xdr:cNvSpPr>
          <a:spLocks/>
        </xdr:cNvSpPr>
      </xdr:nvSpPr>
      <xdr:spPr>
        <a:xfrm rot="10800000">
          <a:off x="3876675" y="8115300"/>
          <a:ext cx="390525" cy="238125"/>
        </a:xfrm>
        <a:prstGeom prst="rtTriangl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30</xdr:row>
      <xdr:rowOff>9525</xdr:rowOff>
    </xdr:from>
    <xdr:to>
      <xdr:col>13</xdr:col>
      <xdr:colOff>9525</xdr:colOff>
      <xdr:row>31</xdr:row>
      <xdr:rowOff>57150</xdr:rowOff>
    </xdr:to>
    <xdr:sp>
      <xdr:nvSpPr>
        <xdr:cNvPr id="283" name="AutoShape 360"/>
        <xdr:cNvSpPr>
          <a:spLocks/>
        </xdr:cNvSpPr>
      </xdr:nvSpPr>
      <xdr:spPr>
        <a:xfrm rot="10800000">
          <a:off x="3562350" y="7924800"/>
          <a:ext cx="409575" cy="238125"/>
        </a:xfrm>
        <a:prstGeom prst="rtTriangl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29</xdr:row>
      <xdr:rowOff>19050</xdr:rowOff>
    </xdr:from>
    <xdr:to>
      <xdr:col>12</xdr:col>
      <xdr:colOff>0</xdr:colOff>
      <xdr:row>30</xdr:row>
      <xdr:rowOff>66675</xdr:rowOff>
    </xdr:to>
    <xdr:sp>
      <xdr:nvSpPr>
        <xdr:cNvPr id="284" name="AutoShape 361"/>
        <xdr:cNvSpPr>
          <a:spLocks/>
        </xdr:cNvSpPr>
      </xdr:nvSpPr>
      <xdr:spPr>
        <a:xfrm rot="10800000">
          <a:off x="3305175" y="7743825"/>
          <a:ext cx="352425" cy="238125"/>
        </a:xfrm>
        <a:prstGeom prst="rtTriangl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28</xdr:row>
      <xdr:rowOff>19050</xdr:rowOff>
    </xdr:from>
    <xdr:to>
      <xdr:col>11</xdr:col>
      <xdr:colOff>0</xdr:colOff>
      <xdr:row>29</xdr:row>
      <xdr:rowOff>66675</xdr:rowOff>
    </xdr:to>
    <xdr:sp>
      <xdr:nvSpPr>
        <xdr:cNvPr id="285" name="AutoShape 362"/>
        <xdr:cNvSpPr>
          <a:spLocks/>
        </xdr:cNvSpPr>
      </xdr:nvSpPr>
      <xdr:spPr>
        <a:xfrm rot="10800000">
          <a:off x="2962275" y="7553325"/>
          <a:ext cx="390525" cy="238125"/>
        </a:xfrm>
        <a:prstGeom prst="rtTriangl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32</xdr:row>
      <xdr:rowOff>19050</xdr:rowOff>
    </xdr:from>
    <xdr:to>
      <xdr:col>15</xdr:col>
      <xdr:colOff>9525</xdr:colOff>
      <xdr:row>33</xdr:row>
      <xdr:rowOff>66675</xdr:rowOff>
    </xdr:to>
    <xdr:sp>
      <xdr:nvSpPr>
        <xdr:cNvPr id="286" name="AutoShape 363"/>
        <xdr:cNvSpPr>
          <a:spLocks/>
        </xdr:cNvSpPr>
      </xdr:nvSpPr>
      <xdr:spPr>
        <a:xfrm rot="10800000">
          <a:off x="4200525" y="8315325"/>
          <a:ext cx="381000" cy="238125"/>
        </a:xfrm>
        <a:prstGeom prst="rtTriangl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23</xdr:row>
      <xdr:rowOff>0</xdr:rowOff>
    </xdr:from>
    <xdr:to>
      <xdr:col>6</xdr:col>
      <xdr:colOff>0</xdr:colOff>
      <xdr:row>25</xdr:row>
      <xdr:rowOff>9525</xdr:rowOff>
    </xdr:to>
    <xdr:sp>
      <xdr:nvSpPr>
        <xdr:cNvPr id="287" name="Rectangle 364"/>
        <xdr:cNvSpPr>
          <a:spLocks/>
        </xdr:cNvSpPr>
      </xdr:nvSpPr>
      <xdr:spPr>
        <a:xfrm>
          <a:off x="600075" y="4505325"/>
          <a:ext cx="1228725" cy="390525"/>
        </a:xfrm>
        <a:prstGeom prst="rect">
          <a:avLst/>
        </a:prstGeom>
        <a:solidFill>
          <a:srgbClr val="EAEAEA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25</xdr:row>
      <xdr:rowOff>9525</xdr:rowOff>
    </xdr:from>
    <xdr:to>
      <xdr:col>6</xdr:col>
      <xdr:colOff>0</xdr:colOff>
      <xdr:row>26</xdr:row>
      <xdr:rowOff>0</xdr:rowOff>
    </xdr:to>
    <xdr:sp>
      <xdr:nvSpPr>
        <xdr:cNvPr id="288" name="AutoShape 370"/>
        <xdr:cNvSpPr>
          <a:spLocks/>
        </xdr:cNvSpPr>
      </xdr:nvSpPr>
      <xdr:spPr>
        <a:xfrm rot="10800000">
          <a:off x="1552575" y="4895850"/>
          <a:ext cx="276225" cy="180975"/>
        </a:xfrm>
        <a:prstGeom prst="rtTriangle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25</xdr:row>
      <xdr:rowOff>180975</xdr:rowOff>
    </xdr:from>
    <xdr:to>
      <xdr:col>6</xdr:col>
      <xdr:colOff>295275</xdr:colOff>
      <xdr:row>26</xdr:row>
      <xdr:rowOff>180975</xdr:rowOff>
    </xdr:to>
    <xdr:sp>
      <xdr:nvSpPr>
        <xdr:cNvPr id="289" name="AutoShape 371"/>
        <xdr:cNvSpPr>
          <a:spLocks/>
        </xdr:cNvSpPr>
      </xdr:nvSpPr>
      <xdr:spPr>
        <a:xfrm rot="10800000">
          <a:off x="1819275" y="5067300"/>
          <a:ext cx="304800" cy="190500"/>
        </a:xfrm>
        <a:prstGeom prst="rtTriangle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114300</xdr:rowOff>
    </xdr:from>
    <xdr:to>
      <xdr:col>8</xdr:col>
      <xdr:colOff>0</xdr:colOff>
      <xdr:row>27</xdr:row>
      <xdr:rowOff>2152650</xdr:rowOff>
    </xdr:to>
    <xdr:sp>
      <xdr:nvSpPr>
        <xdr:cNvPr id="290" name="AutoShape 372"/>
        <xdr:cNvSpPr>
          <a:spLocks/>
        </xdr:cNvSpPr>
      </xdr:nvSpPr>
      <xdr:spPr>
        <a:xfrm rot="10800000">
          <a:off x="2143125" y="5381625"/>
          <a:ext cx="295275" cy="2038350"/>
        </a:xfrm>
        <a:prstGeom prst="rtTriangle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28</xdr:row>
      <xdr:rowOff>9525</xdr:rowOff>
    </xdr:from>
    <xdr:to>
      <xdr:col>9</xdr:col>
      <xdr:colOff>19050</xdr:colOff>
      <xdr:row>29</xdr:row>
      <xdr:rowOff>0</xdr:rowOff>
    </xdr:to>
    <xdr:sp>
      <xdr:nvSpPr>
        <xdr:cNvPr id="291" name="AutoShape 373"/>
        <xdr:cNvSpPr>
          <a:spLocks/>
        </xdr:cNvSpPr>
      </xdr:nvSpPr>
      <xdr:spPr>
        <a:xfrm rot="10800000">
          <a:off x="2457450" y="7543800"/>
          <a:ext cx="304800" cy="180975"/>
        </a:xfrm>
        <a:prstGeom prst="rtTriangle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29</xdr:row>
      <xdr:rowOff>9525</xdr:rowOff>
    </xdr:from>
    <xdr:to>
      <xdr:col>10</xdr:col>
      <xdr:colOff>19050</xdr:colOff>
      <xdr:row>30</xdr:row>
      <xdr:rowOff>0</xdr:rowOff>
    </xdr:to>
    <xdr:sp>
      <xdr:nvSpPr>
        <xdr:cNvPr id="292" name="AutoShape 374"/>
        <xdr:cNvSpPr>
          <a:spLocks/>
        </xdr:cNvSpPr>
      </xdr:nvSpPr>
      <xdr:spPr>
        <a:xfrm rot="10800000">
          <a:off x="2771775" y="7734300"/>
          <a:ext cx="295275" cy="180975"/>
        </a:xfrm>
        <a:prstGeom prst="rtTriangle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30</xdr:row>
      <xdr:rowOff>9525</xdr:rowOff>
    </xdr:from>
    <xdr:to>
      <xdr:col>11</xdr:col>
      <xdr:colOff>0</xdr:colOff>
      <xdr:row>31</xdr:row>
      <xdr:rowOff>0</xdr:rowOff>
    </xdr:to>
    <xdr:sp>
      <xdr:nvSpPr>
        <xdr:cNvPr id="293" name="AutoShape 375"/>
        <xdr:cNvSpPr>
          <a:spLocks/>
        </xdr:cNvSpPr>
      </xdr:nvSpPr>
      <xdr:spPr>
        <a:xfrm rot="10800000">
          <a:off x="3076575" y="7924800"/>
          <a:ext cx="276225" cy="180975"/>
        </a:xfrm>
        <a:prstGeom prst="rtTriangle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31</xdr:row>
      <xdr:rowOff>9525</xdr:rowOff>
    </xdr:from>
    <xdr:to>
      <xdr:col>12</xdr:col>
      <xdr:colOff>9525</xdr:colOff>
      <xdr:row>31</xdr:row>
      <xdr:rowOff>180975</xdr:rowOff>
    </xdr:to>
    <xdr:sp>
      <xdr:nvSpPr>
        <xdr:cNvPr id="294" name="AutoShape 376"/>
        <xdr:cNvSpPr>
          <a:spLocks/>
        </xdr:cNvSpPr>
      </xdr:nvSpPr>
      <xdr:spPr>
        <a:xfrm rot="10800000">
          <a:off x="3381375" y="8115300"/>
          <a:ext cx="285750" cy="171450"/>
        </a:xfrm>
        <a:prstGeom prst="rtTriangle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32</xdr:row>
      <xdr:rowOff>0</xdr:rowOff>
    </xdr:from>
    <xdr:to>
      <xdr:col>13</xdr:col>
      <xdr:colOff>9525</xdr:colOff>
      <xdr:row>33</xdr:row>
      <xdr:rowOff>0</xdr:rowOff>
    </xdr:to>
    <xdr:sp>
      <xdr:nvSpPr>
        <xdr:cNvPr id="295" name="AutoShape 377"/>
        <xdr:cNvSpPr>
          <a:spLocks/>
        </xdr:cNvSpPr>
      </xdr:nvSpPr>
      <xdr:spPr>
        <a:xfrm rot="10800000">
          <a:off x="3676650" y="8296275"/>
          <a:ext cx="295275" cy="190500"/>
        </a:xfrm>
        <a:prstGeom prst="rtTriangle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33</xdr:row>
      <xdr:rowOff>9525</xdr:rowOff>
    </xdr:from>
    <xdr:to>
      <xdr:col>14</xdr:col>
      <xdr:colOff>9525</xdr:colOff>
      <xdr:row>33</xdr:row>
      <xdr:rowOff>180975</xdr:rowOff>
    </xdr:to>
    <xdr:sp>
      <xdr:nvSpPr>
        <xdr:cNvPr id="296" name="AutoShape 378"/>
        <xdr:cNvSpPr>
          <a:spLocks/>
        </xdr:cNvSpPr>
      </xdr:nvSpPr>
      <xdr:spPr>
        <a:xfrm rot="10800000">
          <a:off x="3990975" y="8496300"/>
          <a:ext cx="285750" cy="171450"/>
        </a:xfrm>
        <a:prstGeom prst="rtTriangle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34</xdr:row>
      <xdr:rowOff>9525</xdr:rowOff>
    </xdr:from>
    <xdr:to>
      <xdr:col>15</xdr:col>
      <xdr:colOff>0</xdr:colOff>
      <xdr:row>35</xdr:row>
      <xdr:rowOff>0</xdr:rowOff>
    </xdr:to>
    <xdr:sp>
      <xdr:nvSpPr>
        <xdr:cNvPr id="297" name="AutoShape 379"/>
        <xdr:cNvSpPr>
          <a:spLocks/>
        </xdr:cNvSpPr>
      </xdr:nvSpPr>
      <xdr:spPr>
        <a:xfrm rot="10800000">
          <a:off x="4295775" y="8686800"/>
          <a:ext cx="276225" cy="180975"/>
        </a:xfrm>
        <a:prstGeom prst="rtTriangle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23</xdr:row>
      <xdr:rowOff>47625</xdr:rowOff>
    </xdr:from>
    <xdr:to>
      <xdr:col>15</xdr:col>
      <xdr:colOff>0</xdr:colOff>
      <xdr:row>34</xdr:row>
      <xdr:rowOff>123825</xdr:rowOff>
    </xdr:to>
    <xdr:sp>
      <xdr:nvSpPr>
        <xdr:cNvPr id="298" name="Line 380"/>
        <xdr:cNvSpPr>
          <a:spLocks/>
        </xdr:cNvSpPr>
      </xdr:nvSpPr>
      <xdr:spPr>
        <a:xfrm flipH="1" flipV="1">
          <a:off x="1085850" y="4552950"/>
          <a:ext cx="348615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31</xdr:row>
      <xdr:rowOff>57150</xdr:rowOff>
    </xdr:from>
    <xdr:to>
      <xdr:col>13</xdr:col>
      <xdr:colOff>0</xdr:colOff>
      <xdr:row>32</xdr:row>
      <xdr:rowOff>95250</xdr:rowOff>
    </xdr:to>
    <xdr:sp>
      <xdr:nvSpPr>
        <xdr:cNvPr id="299" name="Line 382"/>
        <xdr:cNvSpPr>
          <a:spLocks/>
        </xdr:cNvSpPr>
      </xdr:nvSpPr>
      <xdr:spPr>
        <a:xfrm flipH="1">
          <a:off x="3952875" y="8162925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32</xdr:row>
      <xdr:rowOff>76200</xdr:rowOff>
    </xdr:from>
    <xdr:to>
      <xdr:col>13</xdr:col>
      <xdr:colOff>295275</xdr:colOff>
      <xdr:row>33</xdr:row>
      <xdr:rowOff>114300</xdr:rowOff>
    </xdr:to>
    <xdr:sp>
      <xdr:nvSpPr>
        <xdr:cNvPr id="300" name="Line 383"/>
        <xdr:cNvSpPr>
          <a:spLocks/>
        </xdr:cNvSpPr>
      </xdr:nvSpPr>
      <xdr:spPr>
        <a:xfrm flipH="1">
          <a:off x="4248150" y="8372475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33</xdr:row>
      <xdr:rowOff>85725</xdr:rowOff>
    </xdr:from>
    <xdr:to>
      <xdr:col>15</xdr:col>
      <xdr:colOff>0</xdr:colOff>
      <xdr:row>34</xdr:row>
      <xdr:rowOff>123825</xdr:rowOff>
    </xdr:to>
    <xdr:sp>
      <xdr:nvSpPr>
        <xdr:cNvPr id="301" name="Line 384"/>
        <xdr:cNvSpPr>
          <a:spLocks/>
        </xdr:cNvSpPr>
      </xdr:nvSpPr>
      <xdr:spPr>
        <a:xfrm flipH="1">
          <a:off x="4562475" y="8572500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15</xdr:col>
      <xdr:colOff>9525</xdr:colOff>
      <xdr:row>35</xdr:row>
      <xdr:rowOff>9525</xdr:rowOff>
    </xdr:to>
    <xdr:sp>
      <xdr:nvSpPr>
        <xdr:cNvPr id="302" name="Line 386"/>
        <xdr:cNvSpPr>
          <a:spLocks/>
        </xdr:cNvSpPr>
      </xdr:nvSpPr>
      <xdr:spPr>
        <a:xfrm>
          <a:off x="1524000" y="4895850"/>
          <a:ext cx="3057525" cy="398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33</xdr:row>
      <xdr:rowOff>0</xdr:rowOff>
    </xdr:from>
    <xdr:to>
      <xdr:col>19</xdr:col>
      <xdr:colOff>9525</xdr:colOff>
      <xdr:row>34</xdr:row>
      <xdr:rowOff>0</xdr:rowOff>
    </xdr:to>
    <xdr:sp>
      <xdr:nvSpPr>
        <xdr:cNvPr id="303" name="Line 387"/>
        <xdr:cNvSpPr>
          <a:spLocks/>
        </xdr:cNvSpPr>
      </xdr:nvSpPr>
      <xdr:spPr>
        <a:xfrm>
          <a:off x="5838825" y="8486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104775</xdr:colOff>
      <xdr:row>29</xdr:row>
      <xdr:rowOff>9525</xdr:rowOff>
    </xdr:from>
    <xdr:to>
      <xdr:col>23</xdr:col>
      <xdr:colOff>28575</xdr:colOff>
      <xdr:row>30</xdr:row>
      <xdr:rowOff>152400</xdr:rowOff>
    </xdr:to>
    <xdr:sp>
      <xdr:nvSpPr>
        <xdr:cNvPr id="1" name="AutoShape 22"/>
        <xdr:cNvSpPr>
          <a:spLocks/>
        </xdr:cNvSpPr>
      </xdr:nvSpPr>
      <xdr:spPr>
        <a:xfrm>
          <a:off x="6800850" y="5048250"/>
          <a:ext cx="9144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27</xdr:row>
      <xdr:rowOff>152400</xdr:rowOff>
    </xdr:from>
    <xdr:to>
      <xdr:col>12</xdr:col>
      <xdr:colOff>19050</xdr:colOff>
      <xdr:row>29</xdr:row>
      <xdr:rowOff>0</xdr:rowOff>
    </xdr:to>
    <xdr:sp>
      <xdr:nvSpPr>
        <xdr:cNvPr id="2" name="AutoShape 23"/>
        <xdr:cNvSpPr>
          <a:spLocks/>
        </xdr:cNvSpPr>
      </xdr:nvSpPr>
      <xdr:spPr>
        <a:xfrm>
          <a:off x="2095500" y="4867275"/>
          <a:ext cx="21812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48</xdr:row>
      <xdr:rowOff>0</xdr:rowOff>
    </xdr:from>
    <xdr:to>
      <xdr:col>7</xdr:col>
      <xdr:colOff>28575</xdr:colOff>
      <xdr:row>49</xdr:row>
      <xdr:rowOff>142875</xdr:rowOff>
    </xdr:to>
    <xdr:grpSp>
      <xdr:nvGrpSpPr>
        <xdr:cNvPr id="3" name="Group 27"/>
        <xdr:cNvGrpSpPr>
          <a:grpSpLocks/>
        </xdr:cNvGrpSpPr>
      </xdr:nvGrpSpPr>
      <xdr:grpSpPr>
        <a:xfrm>
          <a:off x="2619375" y="8181975"/>
          <a:ext cx="85725" cy="304800"/>
          <a:chOff x="212" y="911"/>
          <a:chExt cx="12" cy="28"/>
        </a:xfrm>
        <a:solidFill>
          <a:srgbClr val="FFFFFF"/>
        </a:solidFill>
      </xdr:grpSpPr>
      <xdr:sp>
        <xdr:nvSpPr>
          <xdr:cNvPr id="4" name="Line 24"/>
          <xdr:cNvSpPr>
            <a:spLocks/>
          </xdr:cNvSpPr>
        </xdr:nvSpPr>
        <xdr:spPr>
          <a:xfrm flipH="1">
            <a:off x="216" y="911"/>
            <a:ext cx="8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25"/>
          <xdr:cNvSpPr>
            <a:spLocks/>
          </xdr:cNvSpPr>
        </xdr:nvSpPr>
        <xdr:spPr>
          <a:xfrm>
            <a:off x="212" y="930"/>
            <a:ext cx="3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48</xdr:row>
      <xdr:rowOff>9525</xdr:rowOff>
    </xdr:from>
    <xdr:to>
      <xdr:col>9</xdr:col>
      <xdr:colOff>381000</xdr:colOff>
      <xdr:row>48</xdr:row>
      <xdr:rowOff>9525</xdr:rowOff>
    </xdr:to>
    <xdr:sp>
      <xdr:nvSpPr>
        <xdr:cNvPr id="6" name="Line 26"/>
        <xdr:cNvSpPr>
          <a:spLocks/>
        </xdr:cNvSpPr>
      </xdr:nvSpPr>
      <xdr:spPr>
        <a:xfrm>
          <a:off x="2686050" y="81915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48</xdr:row>
      <xdr:rowOff>0</xdr:rowOff>
    </xdr:from>
    <xdr:to>
      <xdr:col>5</xdr:col>
      <xdr:colOff>9525</xdr:colOff>
      <xdr:row>49</xdr:row>
      <xdr:rowOff>123825</xdr:rowOff>
    </xdr:to>
    <xdr:grpSp>
      <xdr:nvGrpSpPr>
        <xdr:cNvPr id="7" name="Group 28"/>
        <xdr:cNvGrpSpPr>
          <a:grpSpLocks/>
        </xdr:cNvGrpSpPr>
      </xdr:nvGrpSpPr>
      <xdr:grpSpPr>
        <a:xfrm>
          <a:off x="1962150" y="8181975"/>
          <a:ext cx="114300" cy="285750"/>
          <a:chOff x="212" y="911"/>
          <a:chExt cx="12" cy="28"/>
        </a:xfrm>
        <a:solidFill>
          <a:srgbClr val="FFFFFF"/>
        </a:solidFill>
      </xdr:grpSpPr>
      <xdr:sp>
        <xdr:nvSpPr>
          <xdr:cNvPr id="8" name="Line 29"/>
          <xdr:cNvSpPr>
            <a:spLocks/>
          </xdr:cNvSpPr>
        </xdr:nvSpPr>
        <xdr:spPr>
          <a:xfrm flipH="1">
            <a:off x="216" y="911"/>
            <a:ext cx="8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30"/>
          <xdr:cNvSpPr>
            <a:spLocks/>
          </xdr:cNvSpPr>
        </xdr:nvSpPr>
        <xdr:spPr>
          <a:xfrm>
            <a:off x="212" y="930"/>
            <a:ext cx="3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295275</xdr:colOff>
      <xdr:row>67</xdr:row>
      <xdr:rowOff>19050</xdr:rowOff>
    </xdr:from>
    <xdr:to>
      <xdr:col>8</xdr:col>
      <xdr:colOff>57150</xdr:colOff>
      <xdr:row>68</xdr:row>
      <xdr:rowOff>142875</xdr:rowOff>
    </xdr:to>
    <xdr:sp>
      <xdr:nvSpPr>
        <xdr:cNvPr id="10" name="AutoShape 31"/>
        <xdr:cNvSpPr>
          <a:spLocks/>
        </xdr:cNvSpPr>
      </xdr:nvSpPr>
      <xdr:spPr>
        <a:xfrm>
          <a:off x="2047875" y="11391900"/>
          <a:ext cx="109537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38100</xdr:rowOff>
    </xdr:from>
    <xdr:to>
      <xdr:col>8</xdr:col>
      <xdr:colOff>0</xdr:colOff>
      <xdr:row>79</xdr:row>
      <xdr:rowOff>161925</xdr:rowOff>
    </xdr:to>
    <xdr:sp>
      <xdr:nvSpPr>
        <xdr:cNvPr id="11" name="AutoShape 32"/>
        <xdr:cNvSpPr>
          <a:spLocks/>
        </xdr:cNvSpPr>
      </xdr:nvSpPr>
      <xdr:spPr>
        <a:xfrm>
          <a:off x="2457450" y="13192125"/>
          <a:ext cx="6286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81</xdr:row>
      <xdr:rowOff>19050</xdr:rowOff>
    </xdr:from>
    <xdr:to>
      <xdr:col>4</xdr:col>
      <xdr:colOff>0</xdr:colOff>
      <xdr:row>82</xdr:row>
      <xdr:rowOff>142875</xdr:rowOff>
    </xdr:to>
    <xdr:sp>
      <xdr:nvSpPr>
        <xdr:cNvPr id="12" name="AutoShape 33"/>
        <xdr:cNvSpPr>
          <a:spLocks/>
        </xdr:cNvSpPr>
      </xdr:nvSpPr>
      <xdr:spPr>
        <a:xfrm>
          <a:off x="1333500" y="13735050"/>
          <a:ext cx="4191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80</xdr:row>
      <xdr:rowOff>38100</xdr:rowOff>
    </xdr:from>
    <xdr:to>
      <xdr:col>18</xdr:col>
      <xdr:colOff>257175</xdr:colOff>
      <xdr:row>81</xdr:row>
      <xdr:rowOff>123825</xdr:rowOff>
    </xdr:to>
    <xdr:sp>
      <xdr:nvSpPr>
        <xdr:cNvPr id="13" name="AutoShape 34"/>
        <xdr:cNvSpPr>
          <a:spLocks/>
        </xdr:cNvSpPr>
      </xdr:nvSpPr>
      <xdr:spPr>
        <a:xfrm>
          <a:off x="3095625" y="13592175"/>
          <a:ext cx="29527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84</xdr:row>
      <xdr:rowOff>19050</xdr:rowOff>
    </xdr:from>
    <xdr:to>
      <xdr:col>4</xdr:col>
      <xdr:colOff>9525</xdr:colOff>
      <xdr:row>85</xdr:row>
      <xdr:rowOff>142875</xdr:rowOff>
    </xdr:to>
    <xdr:sp>
      <xdr:nvSpPr>
        <xdr:cNvPr id="14" name="AutoShape 35"/>
        <xdr:cNvSpPr>
          <a:spLocks/>
        </xdr:cNvSpPr>
      </xdr:nvSpPr>
      <xdr:spPr>
        <a:xfrm>
          <a:off x="1333500" y="14220825"/>
          <a:ext cx="42862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28575</xdr:rowOff>
    </xdr:from>
    <xdr:to>
      <xdr:col>14</xdr:col>
      <xdr:colOff>19050</xdr:colOff>
      <xdr:row>87</xdr:row>
      <xdr:rowOff>152400</xdr:rowOff>
    </xdr:to>
    <xdr:sp>
      <xdr:nvSpPr>
        <xdr:cNvPr id="15" name="AutoShape 36"/>
        <xdr:cNvSpPr>
          <a:spLocks/>
        </xdr:cNvSpPr>
      </xdr:nvSpPr>
      <xdr:spPr>
        <a:xfrm>
          <a:off x="3676650" y="14554200"/>
          <a:ext cx="115252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88</xdr:row>
      <xdr:rowOff>19050</xdr:rowOff>
    </xdr:from>
    <xdr:to>
      <xdr:col>10</xdr:col>
      <xdr:colOff>0</xdr:colOff>
      <xdr:row>89</xdr:row>
      <xdr:rowOff>142875</xdr:rowOff>
    </xdr:to>
    <xdr:sp>
      <xdr:nvSpPr>
        <xdr:cNvPr id="16" name="AutoShape 37"/>
        <xdr:cNvSpPr>
          <a:spLocks/>
        </xdr:cNvSpPr>
      </xdr:nvSpPr>
      <xdr:spPr>
        <a:xfrm>
          <a:off x="2057400" y="14868525"/>
          <a:ext cx="16192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99</xdr:row>
      <xdr:rowOff>19050</xdr:rowOff>
    </xdr:from>
    <xdr:to>
      <xdr:col>6</xdr:col>
      <xdr:colOff>114300</xdr:colOff>
      <xdr:row>100</xdr:row>
      <xdr:rowOff>142875</xdr:rowOff>
    </xdr:to>
    <xdr:sp>
      <xdr:nvSpPr>
        <xdr:cNvPr id="17" name="AutoShape 40"/>
        <xdr:cNvSpPr>
          <a:spLocks/>
        </xdr:cNvSpPr>
      </xdr:nvSpPr>
      <xdr:spPr>
        <a:xfrm>
          <a:off x="1276350" y="16649700"/>
          <a:ext cx="12954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104</xdr:row>
      <xdr:rowOff>19050</xdr:rowOff>
    </xdr:from>
    <xdr:to>
      <xdr:col>9</xdr:col>
      <xdr:colOff>19050</xdr:colOff>
      <xdr:row>106</xdr:row>
      <xdr:rowOff>0</xdr:rowOff>
    </xdr:to>
    <xdr:sp>
      <xdr:nvSpPr>
        <xdr:cNvPr id="18" name="AutoShape 41"/>
        <xdr:cNvSpPr>
          <a:spLocks/>
        </xdr:cNvSpPr>
      </xdr:nvSpPr>
      <xdr:spPr>
        <a:xfrm>
          <a:off x="2638425" y="17478375"/>
          <a:ext cx="6762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126</xdr:row>
      <xdr:rowOff>9525</xdr:rowOff>
    </xdr:from>
    <xdr:to>
      <xdr:col>15</xdr:col>
      <xdr:colOff>266700</xdr:colOff>
      <xdr:row>126</xdr:row>
      <xdr:rowOff>9525</xdr:rowOff>
    </xdr:to>
    <xdr:sp>
      <xdr:nvSpPr>
        <xdr:cNvPr id="19" name="Line 45"/>
        <xdr:cNvSpPr>
          <a:spLocks/>
        </xdr:cNvSpPr>
      </xdr:nvSpPr>
      <xdr:spPr>
        <a:xfrm>
          <a:off x="5114925" y="210312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127</xdr:row>
      <xdr:rowOff>28575</xdr:rowOff>
    </xdr:from>
    <xdr:to>
      <xdr:col>5</xdr:col>
      <xdr:colOff>333375</xdr:colOff>
      <xdr:row>127</xdr:row>
      <xdr:rowOff>28575</xdr:rowOff>
    </xdr:to>
    <xdr:sp>
      <xdr:nvSpPr>
        <xdr:cNvPr id="20" name="Line 46"/>
        <xdr:cNvSpPr>
          <a:spLocks/>
        </xdr:cNvSpPr>
      </xdr:nvSpPr>
      <xdr:spPr>
        <a:xfrm>
          <a:off x="2305050" y="21212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162</xdr:row>
      <xdr:rowOff>19050</xdr:rowOff>
    </xdr:from>
    <xdr:to>
      <xdr:col>14</xdr:col>
      <xdr:colOff>9525</xdr:colOff>
      <xdr:row>163</xdr:row>
      <xdr:rowOff>142875</xdr:rowOff>
    </xdr:to>
    <xdr:sp>
      <xdr:nvSpPr>
        <xdr:cNvPr id="21" name="AutoShape 47"/>
        <xdr:cNvSpPr>
          <a:spLocks/>
        </xdr:cNvSpPr>
      </xdr:nvSpPr>
      <xdr:spPr>
        <a:xfrm>
          <a:off x="1276350" y="27117675"/>
          <a:ext cx="35433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6</xdr:row>
      <xdr:rowOff>0</xdr:rowOff>
    </xdr:from>
    <xdr:to>
      <xdr:col>10</xdr:col>
      <xdr:colOff>38100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200150" y="1057275"/>
          <a:ext cx="493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8</xdr:col>
      <xdr:colOff>0</xdr:colOff>
      <xdr:row>9</xdr:row>
      <xdr:rowOff>9525</xdr:rowOff>
    </xdr:to>
    <xdr:sp>
      <xdr:nvSpPr>
        <xdr:cNvPr id="2" name="Line 4"/>
        <xdr:cNvSpPr>
          <a:spLocks/>
        </xdr:cNvSpPr>
      </xdr:nvSpPr>
      <xdr:spPr>
        <a:xfrm>
          <a:off x="1219200" y="1552575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13</xdr:row>
      <xdr:rowOff>0</xdr:rowOff>
    </xdr:from>
    <xdr:to>
      <xdr:col>7</xdr:col>
      <xdr:colOff>590550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>
          <a:off x="3371850" y="21907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</xdr:row>
      <xdr:rowOff>9525</xdr:rowOff>
    </xdr:from>
    <xdr:to>
      <xdr:col>10</xdr:col>
      <xdr:colOff>19050</xdr:colOff>
      <xdr:row>16</xdr:row>
      <xdr:rowOff>0</xdr:rowOff>
    </xdr:to>
    <xdr:sp>
      <xdr:nvSpPr>
        <xdr:cNvPr id="4" name="Line 6"/>
        <xdr:cNvSpPr>
          <a:spLocks/>
        </xdr:cNvSpPr>
      </xdr:nvSpPr>
      <xdr:spPr>
        <a:xfrm>
          <a:off x="6115050" y="1066800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16</xdr:row>
      <xdr:rowOff>9525</xdr:rowOff>
    </xdr:from>
    <xdr:to>
      <xdr:col>10</xdr:col>
      <xdr:colOff>38100</xdr:colOff>
      <xdr:row>16</xdr:row>
      <xdr:rowOff>9525</xdr:rowOff>
    </xdr:to>
    <xdr:sp>
      <xdr:nvSpPr>
        <xdr:cNvPr id="5" name="Line 7"/>
        <xdr:cNvSpPr>
          <a:spLocks/>
        </xdr:cNvSpPr>
      </xdr:nvSpPr>
      <xdr:spPr>
        <a:xfrm flipH="1">
          <a:off x="3352800" y="268605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12</xdr:row>
      <xdr:rowOff>161925</xdr:rowOff>
    </xdr:to>
    <xdr:sp>
      <xdr:nvSpPr>
        <xdr:cNvPr id="6" name="Line 8"/>
        <xdr:cNvSpPr>
          <a:spLocks/>
        </xdr:cNvSpPr>
      </xdr:nvSpPr>
      <xdr:spPr>
        <a:xfrm>
          <a:off x="4876800" y="15430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5</xdr:row>
      <xdr:rowOff>161925</xdr:rowOff>
    </xdr:from>
    <xdr:to>
      <xdr:col>1</xdr:col>
      <xdr:colOff>590550</xdr:colOff>
      <xdr:row>9</xdr:row>
      <xdr:rowOff>38100</xdr:rowOff>
    </xdr:to>
    <xdr:sp>
      <xdr:nvSpPr>
        <xdr:cNvPr id="7" name="Line 9"/>
        <xdr:cNvSpPr>
          <a:spLocks/>
        </xdr:cNvSpPr>
      </xdr:nvSpPr>
      <xdr:spPr>
        <a:xfrm>
          <a:off x="1200150" y="10572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4</xdr:col>
      <xdr:colOff>0</xdr:colOff>
      <xdr:row>9</xdr:row>
      <xdr:rowOff>19050</xdr:rowOff>
    </xdr:to>
    <xdr:sp>
      <xdr:nvSpPr>
        <xdr:cNvPr id="8" name="Line 10"/>
        <xdr:cNvSpPr>
          <a:spLocks/>
        </xdr:cNvSpPr>
      </xdr:nvSpPr>
      <xdr:spPr>
        <a:xfrm>
          <a:off x="2438400" y="10668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16</xdr:row>
      <xdr:rowOff>9525</xdr:rowOff>
    </xdr:to>
    <xdr:sp>
      <xdr:nvSpPr>
        <xdr:cNvPr id="9" name="Line 11"/>
        <xdr:cNvSpPr>
          <a:spLocks/>
        </xdr:cNvSpPr>
      </xdr:nvSpPr>
      <xdr:spPr>
        <a:xfrm>
          <a:off x="4876800" y="1057275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6</xdr:row>
      <xdr:rowOff>0</xdr:rowOff>
    </xdr:from>
    <xdr:to>
      <xdr:col>4</xdr:col>
      <xdr:colOff>323850</xdr:colOff>
      <xdr:row>9</xdr:row>
      <xdr:rowOff>9525</xdr:rowOff>
    </xdr:to>
    <xdr:sp>
      <xdr:nvSpPr>
        <xdr:cNvPr id="10" name="Line 12"/>
        <xdr:cNvSpPr>
          <a:spLocks/>
        </xdr:cNvSpPr>
      </xdr:nvSpPr>
      <xdr:spPr>
        <a:xfrm>
          <a:off x="2762250" y="10572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0</xdr:rowOff>
    </xdr:from>
    <xdr:to>
      <xdr:col>5</xdr:col>
      <xdr:colOff>19050</xdr:colOff>
      <xdr:row>9</xdr:row>
      <xdr:rowOff>9525</xdr:rowOff>
    </xdr:to>
    <xdr:sp>
      <xdr:nvSpPr>
        <xdr:cNvPr id="11" name="Line 13"/>
        <xdr:cNvSpPr>
          <a:spLocks/>
        </xdr:cNvSpPr>
      </xdr:nvSpPr>
      <xdr:spPr>
        <a:xfrm>
          <a:off x="3067050" y="10572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6</xdr:row>
      <xdr:rowOff>0</xdr:rowOff>
    </xdr:from>
    <xdr:to>
      <xdr:col>5</xdr:col>
      <xdr:colOff>323850</xdr:colOff>
      <xdr:row>9</xdr:row>
      <xdr:rowOff>9525</xdr:rowOff>
    </xdr:to>
    <xdr:sp>
      <xdr:nvSpPr>
        <xdr:cNvPr id="12" name="Line 14"/>
        <xdr:cNvSpPr>
          <a:spLocks/>
        </xdr:cNvSpPr>
      </xdr:nvSpPr>
      <xdr:spPr>
        <a:xfrm>
          <a:off x="3371850" y="10572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0</xdr:rowOff>
    </xdr:from>
    <xdr:to>
      <xdr:col>6</xdr:col>
      <xdr:colOff>19050</xdr:colOff>
      <xdr:row>9</xdr:row>
      <xdr:rowOff>9525</xdr:rowOff>
    </xdr:to>
    <xdr:sp>
      <xdr:nvSpPr>
        <xdr:cNvPr id="13" name="Line 15"/>
        <xdr:cNvSpPr>
          <a:spLocks/>
        </xdr:cNvSpPr>
      </xdr:nvSpPr>
      <xdr:spPr>
        <a:xfrm>
          <a:off x="3676650" y="10572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6</xdr:row>
      <xdr:rowOff>0</xdr:rowOff>
    </xdr:from>
    <xdr:to>
      <xdr:col>6</xdr:col>
      <xdr:colOff>323850</xdr:colOff>
      <xdr:row>9</xdr:row>
      <xdr:rowOff>9525</xdr:rowOff>
    </xdr:to>
    <xdr:sp>
      <xdr:nvSpPr>
        <xdr:cNvPr id="14" name="Line 16"/>
        <xdr:cNvSpPr>
          <a:spLocks/>
        </xdr:cNvSpPr>
      </xdr:nvSpPr>
      <xdr:spPr>
        <a:xfrm>
          <a:off x="3981450" y="10572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161925</xdr:rowOff>
    </xdr:from>
    <xdr:to>
      <xdr:col>7</xdr:col>
      <xdr:colOff>19050</xdr:colOff>
      <xdr:row>9</xdr:row>
      <xdr:rowOff>0</xdr:rowOff>
    </xdr:to>
    <xdr:sp>
      <xdr:nvSpPr>
        <xdr:cNvPr id="15" name="Line 17"/>
        <xdr:cNvSpPr>
          <a:spLocks/>
        </xdr:cNvSpPr>
      </xdr:nvSpPr>
      <xdr:spPr>
        <a:xfrm>
          <a:off x="4286250" y="10572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6</xdr:row>
      <xdr:rowOff>9525</xdr:rowOff>
    </xdr:from>
    <xdr:to>
      <xdr:col>7</xdr:col>
      <xdr:colOff>323850</xdr:colOff>
      <xdr:row>9</xdr:row>
      <xdr:rowOff>19050</xdr:rowOff>
    </xdr:to>
    <xdr:sp>
      <xdr:nvSpPr>
        <xdr:cNvPr id="16" name="Line 18"/>
        <xdr:cNvSpPr>
          <a:spLocks/>
        </xdr:cNvSpPr>
      </xdr:nvSpPr>
      <xdr:spPr>
        <a:xfrm>
          <a:off x="4591050" y="10668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13</xdr:row>
      <xdr:rowOff>0</xdr:rowOff>
    </xdr:from>
    <xdr:to>
      <xdr:col>5</xdr:col>
      <xdr:colOff>304800</xdr:colOff>
      <xdr:row>16</xdr:row>
      <xdr:rowOff>19050</xdr:rowOff>
    </xdr:to>
    <xdr:sp>
      <xdr:nvSpPr>
        <xdr:cNvPr id="17" name="Line 19"/>
        <xdr:cNvSpPr>
          <a:spLocks/>
        </xdr:cNvSpPr>
      </xdr:nvSpPr>
      <xdr:spPr>
        <a:xfrm>
          <a:off x="3352800" y="21907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161925</xdr:rowOff>
    </xdr:from>
    <xdr:to>
      <xdr:col>6</xdr:col>
      <xdr:colOff>0</xdr:colOff>
      <xdr:row>16</xdr:row>
      <xdr:rowOff>9525</xdr:rowOff>
    </xdr:to>
    <xdr:sp>
      <xdr:nvSpPr>
        <xdr:cNvPr id="18" name="Line 20"/>
        <xdr:cNvSpPr>
          <a:spLocks/>
        </xdr:cNvSpPr>
      </xdr:nvSpPr>
      <xdr:spPr>
        <a:xfrm>
          <a:off x="3657600" y="21907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13</xdr:row>
      <xdr:rowOff>0</xdr:rowOff>
    </xdr:from>
    <xdr:to>
      <xdr:col>6</xdr:col>
      <xdr:colOff>304800</xdr:colOff>
      <xdr:row>16</xdr:row>
      <xdr:rowOff>19050</xdr:rowOff>
    </xdr:to>
    <xdr:sp>
      <xdr:nvSpPr>
        <xdr:cNvPr id="19" name="Line 21"/>
        <xdr:cNvSpPr>
          <a:spLocks/>
        </xdr:cNvSpPr>
      </xdr:nvSpPr>
      <xdr:spPr>
        <a:xfrm>
          <a:off x="3962400" y="21907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16</xdr:row>
      <xdr:rowOff>19050</xdr:rowOff>
    </xdr:to>
    <xdr:sp>
      <xdr:nvSpPr>
        <xdr:cNvPr id="20" name="Line 22"/>
        <xdr:cNvSpPr>
          <a:spLocks/>
        </xdr:cNvSpPr>
      </xdr:nvSpPr>
      <xdr:spPr>
        <a:xfrm>
          <a:off x="4267200" y="21907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13</xdr:row>
      <xdr:rowOff>9525</xdr:rowOff>
    </xdr:from>
    <xdr:to>
      <xdr:col>7</xdr:col>
      <xdr:colOff>304800</xdr:colOff>
      <xdr:row>16</xdr:row>
      <xdr:rowOff>28575</xdr:rowOff>
    </xdr:to>
    <xdr:sp>
      <xdr:nvSpPr>
        <xdr:cNvPr id="21" name="Line 23"/>
        <xdr:cNvSpPr>
          <a:spLocks/>
        </xdr:cNvSpPr>
      </xdr:nvSpPr>
      <xdr:spPr>
        <a:xfrm>
          <a:off x="4572000" y="22002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13</xdr:row>
      <xdr:rowOff>0</xdr:rowOff>
    </xdr:from>
    <xdr:to>
      <xdr:col>10</xdr:col>
      <xdr:colOff>38100</xdr:colOff>
      <xdr:row>13</xdr:row>
      <xdr:rowOff>0</xdr:rowOff>
    </xdr:to>
    <xdr:sp>
      <xdr:nvSpPr>
        <xdr:cNvPr id="22" name="Line 24"/>
        <xdr:cNvSpPr>
          <a:spLocks/>
        </xdr:cNvSpPr>
      </xdr:nvSpPr>
      <xdr:spPr>
        <a:xfrm>
          <a:off x="4857750" y="21907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9</xdr:row>
      <xdr:rowOff>9525</xdr:rowOff>
    </xdr:from>
    <xdr:to>
      <xdr:col>10</xdr:col>
      <xdr:colOff>38100</xdr:colOff>
      <xdr:row>9</xdr:row>
      <xdr:rowOff>9525</xdr:rowOff>
    </xdr:to>
    <xdr:sp>
      <xdr:nvSpPr>
        <xdr:cNvPr id="23" name="Line 25"/>
        <xdr:cNvSpPr>
          <a:spLocks/>
        </xdr:cNvSpPr>
      </xdr:nvSpPr>
      <xdr:spPr>
        <a:xfrm>
          <a:off x="4857750" y="15525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10</xdr:row>
      <xdr:rowOff>0</xdr:rowOff>
    </xdr:from>
    <xdr:to>
      <xdr:col>10</xdr:col>
      <xdr:colOff>38100</xdr:colOff>
      <xdr:row>10</xdr:row>
      <xdr:rowOff>0</xdr:rowOff>
    </xdr:to>
    <xdr:sp>
      <xdr:nvSpPr>
        <xdr:cNvPr id="24" name="Line 26"/>
        <xdr:cNvSpPr>
          <a:spLocks/>
        </xdr:cNvSpPr>
      </xdr:nvSpPr>
      <xdr:spPr>
        <a:xfrm>
          <a:off x="4857750" y="1704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11</xdr:row>
      <xdr:rowOff>9525</xdr:rowOff>
    </xdr:from>
    <xdr:to>
      <xdr:col>10</xdr:col>
      <xdr:colOff>38100</xdr:colOff>
      <xdr:row>11</xdr:row>
      <xdr:rowOff>9525</xdr:rowOff>
    </xdr:to>
    <xdr:sp>
      <xdr:nvSpPr>
        <xdr:cNvPr id="25" name="Line 27"/>
        <xdr:cNvSpPr>
          <a:spLocks/>
        </xdr:cNvSpPr>
      </xdr:nvSpPr>
      <xdr:spPr>
        <a:xfrm>
          <a:off x="4857750" y="18764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12</xdr:row>
      <xdr:rowOff>0</xdr:rowOff>
    </xdr:from>
    <xdr:to>
      <xdr:col>10</xdr:col>
      <xdr:colOff>38100</xdr:colOff>
      <xdr:row>12</xdr:row>
      <xdr:rowOff>0</xdr:rowOff>
    </xdr:to>
    <xdr:sp>
      <xdr:nvSpPr>
        <xdr:cNvPr id="26" name="Line 28"/>
        <xdr:cNvSpPr>
          <a:spLocks/>
        </xdr:cNvSpPr>
      </xdr:nvSpPr>
      <xdr:spPr>
        <a:xfrm>
          <a:off x="4857750" y="20288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9525</xdr:rowOff>
    </xdr:from>
    <xdr:to>
      <xdr:col>9</xdr:col>
      <xdr:colOff>95250</xdr:colOff>
      <xdr:row>7</xdr:row>
      <xdr:rowOff>9525</xdr:rowOff>
    </xdr:to>
    <xdr:sp>
      <xdr:nvSpPr>
        <xdr:cNvPr id="27" name="Line 29"/>
        <xdr:cNvSpPr>
          <a:spLocks/>
        </xdr:cNvSpPr>
      </xdr:nvSpPr>
      <xdr:spPr>
        <a:xfrm>
          <a:off x="1238250" y="1228725"/>
          <a:ext cx="434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152400</xdr:rowOff>
    </xdr:from>
    <xdr:to>
      <xdr:col>9</xdr:col>
      <xdr:colOff>114300</xdr:colOff>
      <xdr:row>7</xdr:row>
      <xdr:rowOff>152400</xdr:rowOff>
    </xdr:to>
    <xdr:sp>
      <xdr:nvSpPr>
        <xdr:cNvPr id="28" name="Line 30"/>
        <xdr:cNvSpPr>
          <a:spLocks/>
        </xdr:cNvSpPr>
      </xdr:nvSpPr>
      <xdr:spPr>
        <a:xfrm>
          <a:off x="1238250" y="137160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7</xdr:row>
      <xdr:rowOff>9525</xdr:rowOff>
    </xdr:from>
    <xdr:to>
      <xdr:col>9</xdr:col>
      <xdr:colOff>133350</xdr:colOff>
      <xdr:row>15</xdr:row>
      <xdr:rowOff>0</xdr:rowOff>
    </xdr:to>
    <xdr:sp>
      <xdr:nvSpPr>
        <xdr:cNvPr id="29" name="Line 31"/>
        <xdr:cNvSpPr>
          <a:spLocks/>
        </xdr:cNvSpPr>
      </xdr:nvSpPr>
      <xdr:spPr>
        <a:xfrm>
          <a:off x="5619750" y="122872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15</xdr:row>
      <xdr:rowOff>9525</xdr:rowOff>
    </xdr:from>
    <xdr:to>
      <xdr:col>9</xdr:col>
      <xdr:colOff>152400</xdr:colOff>
      <xdr:row>15</xdr:row>
      <xdr:rowOff>9525</xdr:rowOff>
    </xdr:to>
    <xdr:sp>
      <xdr:nvSpPr>
        <xdr:cNvPr id="30" name="Line 32"/>
        <xdr:cNvSpPr>
          <a:spLocks/>
        </xdr:cNvSpPr>
      </xdr:nvSpPr>
      <xdr:spPr>
        <a:xfrm flipH="1">
          <a:off x="3333750" y="252412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14</xdr:row>
      <xdr:rowOff>76200</xdr:rowOff>
    </xdr:from>
    <xdr:to>
      <xdr:col>9</xdr:col>
      <xdr:colOff>171450</xdr:colOff>
      <xdr:row>14</xdr:row>
      <xdr:rowOff>76200</xdr:rowOff>
    </xdr:to>
    <xdr:sp>
      <xdr:nvSpPr>
        <xdr:cNvPr id="31" name="Line 33"/>
        <xdr:cNvSpPr>
          <a:spLocks/>
        </xdr:cNvSpPr>
      </xdr:nvSpPr>
      <xdr:spPr>
        <a:xfrm flipH="1">
          <a:off x="3333750" y="24288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7</xdr:row>
      <xdr:rowOff>0</xdr:rowOff>
    </xdr:from>
    <xdr:to>
      <xdr:col>8</xdr:col>
      <xdr:colOff>533400</xdr:colOff>
      <xdr:row>15</xdr:row>
      <xdr:rowOff>0</xdr:rowOff>
    </xdr:to>
    <xdr:sp>
      <xdr:nvSpPr>
        <xdr:cNvPr id="32" name="Line 34"/>
        <xdr:cNvSpPr>
          <a:spLocks/>
        </xdr:cNvSpPr>
      </xdr:nvSpPr>
      <xdr:spPr>
        <a:xfrm>
          <a:off x="5410200" y="12192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104775</xdr:rowOff>
    </xdr:from>
    <xdr:to>
      <xdr:col>5</xdr:col>
      <xdr:colOff>190500</xdr:colOff>
      <xdr:row>3</xdr:row>
      <xdr:rowOff>104775</xdr:rowOff>
    </xdr:to>
    <xdr:sp>
      <xdr:nvSpPr>
        <xdr:cNvPr id="33" name="Line 35"/>
        <xdr:cNvSpPr>
          <a:spLocks/>
        </xdr:cNvSpPr>
      </xdr:nvSpPr>
      <xdr:spPr>
        <a:xfrm flipH="1">
          <a:off x="2438400" y="6477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3</xdr:row>
      <xdr:rowOff>95250</xdr:rowOff>
    </xdr:from>
    <xdr:to>
      <xdr:col>8</xdr:col>
      <xdr:colOff>38100</xdr:colOff>
      <xdr:row>3</xdr:row>
      <xdr:rowOff>95250</xdr:rowOff>
    </xdr:to>
    <xdr:sp>
      <xdr:nvSpPr>
        <xdr:cNvPr id="34" name="Line 36"/>
        <xdr:cNvSpPr>
          <a:spLocks/>
        </xdr:cNvSpPr>
      </xdr:nvSpPr>
      <xdr:spPr>
        <a:xfrm>
          <a:off x="4114800" y="6381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</xdr:row>
      <xdr:rowOff>104775</xdr:rowOff>
    </xdr:from>
    <xdr:to>
      <xdr:col>4</xdr:col>
      <xdr:colOff>38100</xdr:colOff>
      <xdr:row>3</xdr:row>
      <xdr:rowOff>104775</xdr:rowOff>
    </xdr:to>
    <xdr:sp>
      <xdr:nvSpPr>
        <xdr:cNvPr id="35" name="Line 37"/>
        <xdr:cNvSpPr>
          <a:spLocks/>
        </xdr:cNvSpPr>
      </xdr:nvSpPr>
      <xdr:spPr>
        <a:xfrm>
          <a:off x="2190750" y="647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104775</xdr:rowOff>
    </xdr:from>
    <xdr:to>
      <xdr:col>2</xdr:col>
      <xdr:colOff>266700</xdr:colOff>
      <xdr:row>3</xdr:row>
      <xdr:rowOff>114300</xdr:rowOff>
    </xdr:to>
    <xdr:sp>
      <xdr:nvSpPr>
        <xdr:cNvPr id="36" name="Line 38"/>
        <xdr:cNvSpPr>
          <a:spLocks/>
        </xdr:cNvSpPr>
      </xdr:nvSpPr>
      <xdr:spPr>
        <a:xfrm flipH="1">
          <a:off x="1219200" y="647700"/>
          <a:ext cx="266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5</xdr:row>
      <xdr:rowOff>152400</xdr:rowOff>
    </xdr:to>
    <xdr:sp>
      <xdr:nvSpPr>
        <xdr:cNvPr id="37" name="Line 39"/>
        <xdr:cNvSpPr>
          <a:spLocks/>
        </xdr:cNvSpPr>
      </xdr:nvSpPr>
      <xdr:spPr>
        <a:xfrm>
          <a:off x="1219200" y="5905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5</xdr:row>
      <xdr:rowOff>152400</xdr:rowOff>
    </xdr:to>
    <xdr:sp>
      <xdr:nvSpPr>
        <xdr:cNvPr id="38" name="Line 40"/>
        <xdr:cNvSpPr>
          <a:spLocks/>
        </xdr:cNvSpPr>
      </xdr:nvSpPr>
      <xdr:spPr>
        <a:xfrm>
          <a:off x="2438400" y="5524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38100</xdr:rowOff>
    </xdr:from>
    <xdr:to>
      <xdr:col>8</xdr:col>
      <xdr:colOff>0</xdr:colOff>
      <xdr:row>5</xdr:row>
      <xdr:rowOff>142875</xdr:rowOff>
    </xdr:to>
    <xdr:sp>
      <xdr:nvSpPr>
        <xdr:cNvPr id="39" name="Line 41"/>
        <xdr:cNvSpPr>
          <a:spLocks/>
        </xdr:cNvSpPr>
      </xdr:nvSpPr>
      <xdr:spPr>
        <a:xfrm>
          <a:off x="4876800" y="5810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161925</xdr:rowOff>
    </xdr:to>
    <xdr:sp>
      <xdr:nvSpPr>
        <xdr:cNvPr id="40" name="Line 42"/>
        <xdr:cNvSpPr>
          <a:spLocks/>
        </xdr:cNvSpPr>
      </xdr:nvSpPr>
      <xdr:spPr>
        <a:xfrm>
          <a:off x="6096000" y="5429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5</xdr:row>
      <xdr:rowOff>161925</xdr:rowOff>
    </xdr:from>
    <xdr:to>
      <xdr:col>12</xdr:col>
      <xdr:colOff>571500</xdr:colOff>
      <xdr:row>5</xdr:row>
      <xdr:rowOff>161925</xdr:rowOff>
    </xdr:to>
    <xdr:sp>
      <xdr:nvSpPr>
        <xdr:cNvPr id="41" name="Line 43"/>
        <xdr:cNvSpPr>
          <a:spLocks/>
        </xdr:cNvSpPr>
      </xdr:nvSpPr>
      <xdr:spPr>
        <a:xfrm>
          <a:off x="6553200" y="10572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9</xdr:row>
      <xdr:rowOff>0</xdr:rowOff>
    </xdr:from>
    <xdr:to>
      <xdr:col>12</xdr:col>
      <xdr:colOff>590550</xdr:colOff>
      <xdr:row>9</xdr:row>
      <xdr:rowOff>0</xdr:rowOff>
    </xdr:to>
    <xdr:sp>
      <xdr:nvSpPr>
        <xdr:cNvPr id="42" name="Line 44"/>
        <xdr:cNvSpPr>
          <a:spLocks/>
        </xdr:cNvSpPr>
      </xdr:nvSpPr>
      <xdr:spPr>
        <a:xfrm>
          <a:off x="6572250" y="15430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12</xdr:row>
      <xdr:rowOff>161925</xdr:rowOff>
    </xdr:from>
    <xdr:to>
      <xdr:col>12</xdr:col>
      <xdr:colOff>590550</xdr:colOff>
      <xdr:row>12</xdr:row>
      <xdr:rowOff>161925</xdr:rowOff>
    </xdr:to>
    <xdr:sp>
      <xdr:nvSpPr>
        <xdr:cNvPr id="43" name="Line 45"/>
        <xdr:cNvSpPr>
          <a:spLocks/>
        </xdr:cNvSpPr>
      </xdr:nvSpPr>
      <xdr:spPr>
        <a:xfrm>
          <a:off x="6629400" y="21907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44" name="Line 46"/>
        <xdr:cNvSpPr>
          <a:spLocks/>
        </xdr:cNvSpPr>
      </xdr:nvSpPr>
      <xdr:spPr>
        <a:xfrm>
          <a:off x="6553200" y="26765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66675</xdr:rowOff>
    </xdr:from>
    <xdr:to>
      <xdr:col>10</xdr:col>
      <xdr:colOff>0</xdr:colOff>
      <xdr:row>18</xdr:row>
      <xdr:rowOff>161925</xdr:rowOff>
    </xdr:to>
    <xdr:sp>
      <xdr:nvSpPr>
        <xdr:cNvPr id="45" name="Line 47"/>
        <xdr:cNvSpPr>
          <a:spLocks/>
        </xdr:cNvSpPr>
      </xdr:nvSpPr>
      <xdr:spPr>
        <a:xfrm>
          <a:off x="6096000" y="2743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16</xdr:row>
      <xdr:rowOff>66675</xdr:rowOff>
    </xdr:from>
    <xdr:to>
      <xdr:col>7</xdr:col>
      <xdr:colOff>590550</xdr:colOff>
      <xdr:row>17</xdr:row>
      <xdr:rowOff>0</xdr:rowOff>
    </xdr:to>
    <xdr:sp>
      <xdr:nvSpPr>
        <xdr:cNvPr id="46" name="Line 48"/>
        <xdr:cNvSpPr>
          <a:spLocks/>
        </xdr:cNvSpPr>
      </xdr:nvSpPr>
      <xdr:spPr>
        <a:xfrm>
          <a:off x="4857750" y="27432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16</xdr:row>
      <xdr:rowOff>38100</xdr:rowOff>
    </xdr:from>
    <xdr:to>
      <xdr:col>5</xdr:col>
      <xdr:colOff>304800</xdr:colOff>
      <xdr:row>17</xdr:row>
      <xdr:rowOff>161925</xdr:rowOff>
    </xdr:to>
    <xdr:sp>
      <xdr:nvSpPr>
        <xdr:cNvPr id="47" name="Line 49"/>
        <xdr:cNvSpPr>
          <a:spLocks/>
        </xdr:cNvSpPr>
      </xdr:nvSpPr>
      <xdr:spPr>
        <a:xfrm>
          <a:off x="3352800" y="2714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16</xdr:row>
      <xdr:rowOff>114300</xdr:rowOff>
    </xdr:from>
    <xdr:to>
      <xdr:col>7</xdr:col>
      <xdr:colOff>590550</xdr:colOff>
      <xdr:row>16</xdr:row>
      <xdr:rowOff>114300</xdr:rowOff>
    </xdr:to>
    <xdr:sp>
      <xdr:nvSpPr>
        <xdr:cNvPr id="48" name="Line 50"/>
        <xdr:cNvSpPr>
          <a:spLocks/>
        </xdr:cNvSpPr>
      </xdr:nvSpPr>
      <xdr:spPr>
        <a:xfrm>
          <a:off x="4324350" y="27908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16</xdr:row>
      <xdr:rowOff>114300</xdr:rowOff>
    </xdr:from>
    <xdr:to>
      <xdr:col>5</xdr:col>
      <xdr:colOff>590550</xdr:colOff>
      <xdr:row>16</xdr:row>
      <xdr:rowOff>114300</xdr:rowOff>
    </xdr:to>
    <xdr:sp>
      <xdr:nvSpPr>
        <xdr:cNvPr id="49" name="Line 51"/>
        <xdr:cNvSpPr>
          <a:spLocks/>
        </xdr:cNvSpPr>
      </xdr:nvSpPr>
      <xdr:spPr>
        <a:xfrm flipH="1">
          <a:off x="3352800" y="27908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16</xdr:row>
      <xdr:rowOff>114300</xdr:rowOff>
    </xdr:from>
    <xdr:to>
      <xdr:col>8</xdr:col>
      <xdr:colOff>228600</xdr:colOff>
      <xdr:row>16</xdr:row>
      <xdr:rowOff>114300</xdr:rowOff>
    </xdr:to>
    <xdr:sp>
      <xdr:nvSpPr>
        <xdr:cNvPr id="50" name="Line 52"/>
        <xdr:cNvSpPr>
          <a:spLocks/>
        </xdr:cNvSpPr>
      </xdr:nvSpPr>
      <xdr:spPr>
        <a:xfrm flipH="1">
          <a:off x="4857750" y="27908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16</xdr:row>
      <xdr:rowOff>123825</xdr:rowOff>
    </xdr:from>
    <xdr:to>
      <xdr:col>10</xdr:col>
      <xdr:colOff>0</xdr:colOff>
      <xdr:row>16</xdr:row>
      <xdr:rowOff>133350</xdr:rowOff>
    </xdr:to>
    <xdr:sp>
      <xdr:nvSpPr>
        <xdr:cNvPr id="51" name="Line 53"/>
        <xdr:cNvSpPr>
          <a:spLocks/>
        </xdr:cNvSpPr>
      </xdr:nvSpPr>
      <xdr:spPr>
        <a:xfrm>
          <a:off x="5886450" y="2800350"/>
          <a:ext cx="209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15</xdr:row>
      <xdr:rowOff>57150</xdr:rowOff>
    </xdr:from>
    <xdr:to>
      <xdr:col>11</xdr:col>
      <xdr:colOff>38100</xdr:colOff>
      <xdr:row>15</xdr:row>
      <xdr:rowOff>161925</xdr:rowOff>
    </xdr:to>
    <xdr:sp>
      <xdr:nvSpPr>
        <xdr:cNvPr id="52" name="Line 54"/>
        <xdr:cNvSpPr>
          <a:spLocks/>
        </xdr:cNvSpPr>
      </xdr:nvSpPr>
      <xdr:spPr>
        <a:xfrm>
          <a:off x="6743700" y="25717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12</xdr:row>
      <xdr:rowOff>161925</xdr:rowOff>
    </xdr:from>
    <xdr:to>
      <xdr:col>11</xdr:col>
      <xdr:colOff>19050</xdr:colOff>
      <xdr:row>13</xdr:row>
      <xdr:rowOff>161925</xdr:rowOff>
    </xdr:to>
    <xdr:sp>
      <xdr:nvSpPr>
        <xdr:cNvPr id="53" name="Line 55"/>
        <xdr:cNvSpPr>
          <a:spLocks/>
        </xdr:cNvSpPr>
      </xdr:nvSpPr>
      <xdr:spPr>
        <a:xfrm flipV="1">
          <a:off x="6724650" y="2190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11</xdr:row>
      <xdr:rowOff>114300</xdr:rowOff>
    </xdr:from>
    <xdr:to>
      <xdr:col>12</xdr:col>
      <xdr:colOff>323850</xdr:colOff>
      <xdr:row>12</xdr:row>
      <xdr:rowOff>161925</xdr:rowOff>
    </xdr:to>
    <xdr:sp>
      <xdr:nvSpPr>
        <xdr:cNvPr id="54" name="Line 56"/>
        <xdr:cNvSpPr>
          <a:spLocks/>
        </xdr:cNvSpPr>
      </xdr:nvSpPr>
      <xdr:spPr>
        <a:xfrm>
          <a:off x="7639050" y="19812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161925</xdr:rowOff>
    </xdr:from>
    <xdr:to>
      <xdr:col>11</xdr:col>
      <xdr:colOff>0</xdr:colOff>
      <xdr:row>10</xdr:row>
      <xdr:rowOff>95250</xdr:rowOff>
    </xdr:to>
    <xdr:sp>
      <xdr:nvSpPr>
        <xdr:cNvPr id="55" name="Line 57"/>
        <xdr:cNvSpPr>
          <a:spLocks/>
        </xdr:cNvSpPr>
      </xdr:nvSpPr>
      <xdr:spPr>
        <a:xfrm flipV="1">
          <a:off x="6705600" y="15430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66675</xdr:rowOff>
    </xdr:from>
    <xdr:to>
      <xdr:col>11</xdr:col>
      <xdr:colOff>0</xdr:colOff>
      <xdr:row>9</xdr:row>
      <xdr:rowOff>0</xdr:rowOff>
    </xdr:to>
    <xdr:sp>
      <xdr:nvSpPr>
        <xdr:cNvPr id="56" name="Line 58"/>
        <xdr:cNvSpPr>
          <a:spLocks/>
        </xdr:cNvSpPr>
      </xdr:nvSpPr>
      <xdr:spPr>
        <a:xfrm>
          <a:off x="6705600" y="1447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5</xdr:row>
      <xdr:rowOff>161925</xdr:rowOff>
    </xdr:from>
    <xdr:to>
      <xdr:col>11</xdr:col>
      <xdr:colOff>38100</xdr:colOff>
      <xdr:row>6</xdr:row>
      <xdr:rowOff>133350</xdr:rowOff>
    </xdr:to>
    <xdr:sp>
      <xdr:nvSpPr>
        <xdr:cNvPr id="57" name="Line 59"/>
        <xdr:cNvSpPr>
          <a:spLocks/>
        </xdr:cNvSpPr>
      </xdr:nvSpPr>
      <xdr:spPr>
        <a:xfrm flipV="1">
          <a:off x="6743700" y="1057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95250</xdr:rowOff>
    </xdr:from>
    <xdr:to>
      <xdr:col>8</xdr:col>
      <xdr:colOff>266700</xdr:colOff>
      <xdr:row>5</xdr:row>
      <xdr:rowOff>95250</xdr:rowOff>
    </xdr:to>
    <xdr:sp>
      <xdr:nvSpPr>
        <xdr:cNvPr id="58" name="Line 60"/>
        <xdr:cNvSpPr>
          <a:spLocks/>
        </xdr:cNvSpPr>
      </xdr:nvSpPr>
      <xdr:spPr>
        <a:xfrm flipH="1">
          <a:off x="4876800" y="990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5</xdr:row>
      <xdr:rowOff>104775</xdr:rowOff>
    </xdr:from>
    <xdr:to>
      <xdr:col>10</xdr:col>
      <xdr:colOff>19050</xdr:colOff>
      <xdr:row>5</xdr:row>
      <xdr:rowOff>104775</xdr:rowOff>
    </xdr:to>
    <xdr:sp>
      <xdr:nvSpPr>
        <xdr:cNvPr id="59" name="Line 61"/>
        <xdr:cNvSpPr>
          <a:spLocks/>
        </xdr:cNvSpPr>
      </xdr:nvSpPr>
      <xdr:spPr>
        <a:xfrm>
          <a:off x="5810250" y="10001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10</xdr:row>
      <xdr:rowOff>161925</xdr:rowOff>
    </xdr:to>
    <xdr:sp>
      <xdr:nvSpPr>
        <xdr:cNvPr id="60" name="Line 62"/>
        <xdr:cNvSpPr>
          <a:spLocks/>
        </xdr:cNvSpPr>
      </xdr:nvSpPr>
      <xdr:spPr>
        <a:xfrm flipV="1">
          <a:off x="609600" y="1057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12</xdr:row>
      <xdr:rowOff>38100</xdr:rowOff>
    </xdr:from>
    <xdr:to>
      <xdr:col>0</xdr:col>
      <xdr:colOff>571500</xdr:colOff>
      <xdr:row>16</xdr:row>
      <xdr:rowOff>9525</xdr:rowOff>
    </xdr:to>
    <xdr:sp>
      <xdr:nvSpPr>
        <xdr:cNvPr id="61" name="Line 63"/>
        <xdr:cNvSpPr>
          <a:spLocks/>
        </xdr:cNvSpPr>
      </xdr:nvSpPr>
      <xdr:spPr>
        <a:xfrm>
          <a:off x="571500" y="20669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15</xdr:row>
      <xdr:rowOff>161925</xdr:rowOff>
    </xdr:from>
    <xdr:to>
      <xdr:col>1</xdr:col>
      <xdr:colOff>133350</xdr:colOff>
      <xdr:row>15</xdr:row>
      <xdr:rowOff>161925</xdr:rowOff>
    </xdr:to>
    <xdr:sp>
      <xdr:nvSpPr>
        <xdr:cNvPr id="62" name="Line 64"/>
        <xdr:cNvSpPr>
          <a:spLocks/>
        </xdr:cNvSpPr>
      </xdr:nvSpPr>
      <xdr:spPr>
        <a:xfrm>
          <a:off x="438150" y="26765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6</xdr:row>
      <xdr:rowOff>0</xdr:rowOff>
    </xdr:from>
    <xdr:to>
      <xdr:col>1</xdr:col>
      <xdr:colOff>247650</xdr:colOff>
      <xdr:row>6</xdr:row>
      <xdr:rowOff>0</xdr:rowOff>
    </xdr:to>
    <xdr:sp>
      <xdr:nvSpPr>
        <xdr:cNvPr id="63" name="Line 65"/>
        <xdr:cNvSpPr>
          <a:spLocks/>
        </xdr:cNvSpPr>
      </xdr:nvSpPr>
      <xdr:spPr>
        <a:xfrm>
          <a:off x="438150" y="10572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18</xdr:row>
      <xdr:rowOff>104775</xdr:rowOff>
    </xdr:from>
    <xdr:to>
      <xdr:col>10</xdr:col>
      <xdr:colOff>19050</xdr:colOff>
      <xdr:row>18</xdr:row>
      <xdr:rowOff>104775</xdr:rowOff>
    </xdr:to>
    <xdr:sp>
      <xdr:nvSpPr>
        <xdr:cNvPr id="64" name="Line 66"/>
        <xdr:cNvSpPr>
          <a:spLocks/>
        </xdr:cNvSpPr>
      </xdr:nvSpPr>
      <xdr:spPr>
        <a:xfrm>
          <a:off x="4210050" y="31051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95250</xdr:rowOff>
    </xdr:from>
    <xdr:to>
      <xdr:col>5</xdr:col>
      <xdr:colOff>133350</xdr:colOff>
      <xdr:row>18</xdr:row>
      <xdr:rowOff>95250</xdr:rowOff>
    </xdr:to>
    <xdr:sp>
      <xdr:nvSpPr>
        <xdr:cNvPr id="65" name="Line 67"/>
        <xdr:cNvSpPr>
          <a:spLocks/>
        </xdr:cNvSpPr>
      </xdr:nvSpPr>
      <xdr:spPr>
        <a:xfrm flipH="1">
          <a:off x="1238250" y="30956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28575</xdr:rowOff>
    </xdr:from>
    <xdr:to>
      <xdr:col>2</xdr:col>
      <xdr:colOff>19050</xdr:colOff>
      <xdr:row>19</xdr:row>
      <xdr:rowOff>0</xdr:rowOff>
    </xdr:to>
    <xdr:sp>
      <xdr:nvSpPr>
        <xdr:cNvPr id="66" name="Line 68"/>
        <xdr:cNvSpPr>
          <a:spLocks/>
        </xdr:cNvSpPr>
      </xdr:nvSpPr>
      <xdr:spPr>
        <a:xfrm>
          <a:off x="1238250" y="30289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9</xdr:row>
      <xdr:rowOff>19050</xdr:rowOff>
    </xdr:from>
    <xdr:to>
      <xdr:col>7</xdr:col>
      <xdr:colOff>304800</xdr:colOff>
      <xdr:row>10</xdr:row>
      <xdr:rowOff>114300</xdr:rowOff>
    </xdr:to>
    <xdr:sp>
      <xdr:nvSpPr>
        <xdr:cNvPr id="67" name="Line 69"/>
        <xdr:cNvSpPr>
          <a:spLocks/>
        </xdr:cNvSpPr>
      </xdr:nvSpPr>
      <xdr:spPr>
        <a:xfrm flipV="1">
          <a:off x="4572000" y="15621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</xdr:row>
      <xdr:rowOff>76200</xdr:rowOff>
    </xdr:from>
    <xdr:to>
      <xdr:col>8</xdr:col>
      <xdr:colOff>19050</xdr:colOff>
      <xdr:row>4</xdr:row>
      <xdr:rowOff>76200</xdr:rowOff>
    </xdr:to>
    <xdr:sp>
      <xdr:nvSpPr>
        <xdr:cNvPr id="68" name="Line 70"/>
        <xdr:cNvSpPr>
          <a:spLocks/>
        </xdr:cNvSpPr>
      </xdr:nvSpPr>
      <xdr:spPr>
        <a:xfrm>
          <a:off x="4362450" y="809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4</xdr:row>
      <xdr:rowOff>76200</xdr:rowOff>
    </xdr:from>
    <xdr:to>
      <xdr:col>4</xdr:col>
      <xdr:colOff>247650</xdr:colOff>
      <xdr:row>4</xdr:row>
      <xdr:rowOff>76200</xdr:rowOff>
    </xdr:to>
    <xdr:sp>
      <xdr:nvSpPr>
        <xdr:cNvPr id="69" name="Line 71"/>
        <xdr:cNvSpPr>
          <a:spLocks/>
        </xdr:cNvSpPr>
      </xdr:nvSpPr>
      <xdr:spPr>
        <a:xfrm flipH="1">
          <a:off x="2419350" y="809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12</xdr:row>
      <xdr:rowOff>114300</xdr:rowOff>
    </xdr:from>
    <xdr:to>
      <xdr:col>8</xdr:col>
      <xdr:colOff>0</xdr:colOff>
      <xdr:row>12</xdr:row>
      <xdr:rowOff>114300</xdr:rowOff>
    </xdr:to>
    <xdr:sp>
      <xdr:nvSpPr>
        <xdr:cNvPr id="70" name="Line 72"/>
        <xdr:cNvSpPr>
          <a:spLocks/>
        </xdr:cNvSpPr>
      </xdr:nvSpPr>
      <xdr:spPr>
        <a:xfrm>
          <a:off x="4533900" y="2143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104775</xdr:rowOff>
    </xdr:from>
    <xdr:to>
      <xdr:col>5</xdr:col>
      <xdr:colOff>304800</xdr:colOff>
      <xdr:row>12</xdr:row>
      <xdr:rowOff>104775</xdr:rowOff>
    </xdr:to>
    <xdr:sp>
      <xdr:nvSpPr>
        <xdr:cNvPr id="71" name="Line 73"/>
        <xdr:cNvSpPr>
          <a:spLocks/>
        </xdr:cNvSpPr>
      </xdr:nvSpPr>
      <xdr:spPr>
        <a:xfrm>
          <a:off x="3048000" y="21336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12</xdr:row>
      <xdr:rowOff>38100</xdr:rowOff>
    </xdr:from>
    <xdr:to>
      <xdr:col>5</xdr:col>
      <xdr:colOff>304800</xdr:colOff>
      <xdr:row>12</xdr:row>
      <xdr:rowOff>161925</xdr:rowOff>
    </xdr:to>
    <xdr:sp>
      <xdr:nvSpPr>
        <xdr:cNvPr id="72" name="Line 74"/>
        <xdr:cNvSpPr>
          <a:spLocks/>
        </xdr:cNvSpPr>
      </xdr:nvSpPr>
      <xdr:spPr>
        <a:xfrm>
          <a:off x="3352800" y="20669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11</xdr:row>
      <xdr:rowOff>133350</xdr:rowOff>
    </xdr:from>
    <xdr:to>
      <xdr:col>7</xdr:col>
      <xdr:colOff>304800</xdr:colOff>
      <xdr:row>13</xdr:row>
      <xdr:rowOff>0</xdr:rowOff>
    </xdr:to>
    <xdr:sp>
      <xdr:nvSpPr>
        <xdr:cNvPr id="73" name="Line 75"/>
        <xdr:cNvSpPr>
          <a:spLocks/>
        </xdr:cNvSpPr>
      </xdr:nvSpPr>
      <xdr:spPr>
        <a:xfrm>
          <a:off x="4572000" y="2000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5</xdr:row>
      <xdr:rowOff>104775</xdr:rowOff>
    </xdr:from>
    <xdr:to>
      <xdr:col>4</xdr:col>
      <xdr:colOff>19050</xdr:colOff>
      <xdr:row>5</xdr:row>
      <xdr:rowOff>104775</xdr:rowOff>
    </xdr:to>
    <xdr:sp>
      <xdr:nvSpPr>
        <xdr:cNvPr id="74" name="Line 76"/>
        <xdr:cNvSpPr>
          <a:spLocks/>
        </xdr:cNvSpPr>
      </xdr:nvSpPr>
      <xdr:spPr>
        <a:xfrm>
          <a:off x="2209800" y="1000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5</xdr:row>
      <xdr:rowOff>104775</xdr:rowOff>
    </xdr:from>
    <xdr:to>
      <xdr:col>2</xdr:col>
      <xdr:colOff>304800</xdr:colOff>
      <xdr:row>5</xdr:row>
      <xdr:rowOff>104775</xdr:rowOff>
    </xdr:to>
    <xdr:sp>
      <xdr:nvSpPr>
        <xdr:cNvPr id="75" name="Line 77"/>
        <xdr:cNvSpPr>
          <a:spLocks/>
        </xdr:cNvSpPr>
      </xdr:nvSpPr>
      <xdr:spPr>
        <a:xfrm flipH="1">
          <a:off x="1200150" y="10001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104775</xdr:rowOff>
    </xdr:from>
    <xdr:to>
      <xdr:col>5</xdr:col>
      <xdr:colOff>95250</xdr:colOff>
      <xdr:row>5</xdr:row>
      <xdr:rowOff>104775</xdr:rowOff>
    </xdr:to>
    <xdr:sp>
      <xdr:nvSpPr>
        <xdr:cNvPr id="76" name="Line 78"/>
        <xdr:cNvSpPr>
          <a:spLocks/>
        </xdr:cNvSpPr>
      </xdr:nvSpPr>
      <xdr:spPr>
        <a:xfrm flipH="1">
          <a:off x="2438400" y="10001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5</xdr:row>
      <xdr:rowOff>104775</xdr:rowOff>
    </xdr:from>
    <xdr:to>
      <xdr:col>8</xdr:col>
      <xdr:colOff>19050</xdr:colOff>
      <xdr:row>5</xdr:row>
      <xdr:rowOff>104775</xdr:rowOff>
    </xdr:to>
    <xdr:sp>
      <xdr:nvSpPr>
        <xdr:cNvPr id="77" name="Line 79"/>
        <xdr:cNvSpPr>
          <a:spLocks/>
        </xdr:cNvSpPr>
      </xdr:nvSpPr>
      <xdr:spPr>
        <a:xfrm>
          <a:off x="4152900" y="1000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3</xdr:row>
      <xdr:rowOff>114300</xdr:rowOff>
    </xdr:from>
    <xdr:to>
      <xdr:col>10</xdr:col>
      <xdr:colOff>19050</xdr:colOff>
      <xdr:row>3</xdr:row>
      <xdr:rowOff>114300</xdr:rowOff>
    </xdr:to>
    <xdr:sp>
      <xdr:nvSpPr>
        <xdr:cNvPr id="78" name="Line 80"/>
        <xdr:cNvSpPr>
          <a:spLocks/>
        </xdr:cNvSpPr>
      </xdr:nvSpPr>
      <xdr:spPr>
        <a:xfrm>
          <a:off x="5848350" y="6572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5</xdr:row>
      <xdr:rowOff>161925</xdr:rowOff>
    </xdr:from>
    <xdr:to>
      <xdr:col>12</xdr:col>
      <xdr:colOff>323850</xdr:colOff>
      <xdr:row>7</xdr:row>
      <xdr:rowOff>0</xdr:rowOff>
    </xdr:to>
    <xdr:sp>
      <xdr:nvSpPr>
        <xdr:cNvPr id="79" name="Line 81"/>
        <xdr:cNvSpPr>
          <a:spLocks/>
        </xdr:cNvSpPr>
      </xdr:nvSpPr>
      <xdr:spPr>
        <a:xfrm flipV="1">
          <a:off x="7639050" y="10572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8</xdr:row>
      <xdr:rowOff>76200</xdr:rowOff>
    </xdr:from>
    <xdr:to>
      <xdr:col>12</xdr:col>
      <xdr:colOff>304800</xdr:colOff>
      <xdr:row>9</xdr:row>
      <xdr:rowOff>9525</xdr:rowOff>
    </xdr:to>
    <xdr:sp>
      <xdr:nvSpPr>
        <xdr:cNvPr id="80" name="Line 82"/>
        <xdr:cNvSpPr>
          <a:spLocks/>
        </xdr:cNvSpPr>
      </xdr:nvSpPr>
      <xdr:spPr>
        <a:xfrm>
          <a:off x="7620000" y="14573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8</xdr:row>
      <xdr:rowOff>161925</xdr:rowOff>
    </xdr:from>
    <xdr:to>
      <xdr:col>12</xdr:col>
      <xdr:colOff>304800</xdr:colOff>
      <xdr:row>10</xdr:row>
      <xdr:rowOff>9525</xdr:rowOff>
    </xdr:to>
    <xdr:sp>
      <xdr:nvSpPr>
        <xdr:cNvPr id="81" name="Line 83"/>
        <xdr:cNvSpPr>
          <a:spLocks/>
        </xdr:cNvSpPr>
      </xdr:nvSpPr>
      <xdr:spPr>
        <a:xfrm flipV="1">
          <a:off x="7620000" y="15430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12</xdr:row>
      <xdr:rowOff>161925</xdr:rowOff>
    </xdr:from>
    <xdr:to>
      <xdr:col>12</xdr:col>
      <xdr:colOff>323850</xdr:colOff>
      <xdr:row>13</xdr:row>
      <xdr:rowOff>161925</xdr:rowOff>
    </xdr:to>
    <xdr:sp>
      <xdr:nvSpPr>
        <xdr:cNvPr id="82" name="Line 84"/>
        <xdr:cNvSpPr>
          <a:spLocks/>
        </xdr:cNvSpPr>
      </xdr:nvSpPr>
      <xdr:spPr>
        <a:xfrm flipV="1">
          <a:off x="7639050" y="2190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15</xdr:row>
      <xdr:rowOff>57150</xdr:rowOff>
    </xdr:from>
    <xdr:to>
      <xdr:col>12</xdr:col>
      <xdr:colOff>323850</xdr:colOff>
      <xdr:row>16</xdr:row>
      <xdr:rowOff>0</xdr:rowOff>
    </xdr:to>
    <xdr:sp>
      <xdr:nvSpPr>
        <xdr:cNvPr id="83" name="Line 85"/>
        <xdr:cNvSpPr>
          <a:spLocks/>
        </xdr:cNvSpPr>
      </xdr:nvSpPr>
      <xdr:spPr>
        <a:xfrm>
          <a:off x="7639050" y="25717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3</xdr:row>
      <xdr:rowOff>95250</xdr:rowOff>
    </xdr:from>
    <xdr:to>
      <xdr:col>8</xdr:col>
      <xdr:colOff>266700</xdr:colOff>
      <xdr:row>3</xdr:row>
      <xdr:rowOff>95250</xdr:rowOff>
    </xdr:to>
    <xdr:sp>
      <xdr:nvSpPr>
        <xdr:cNvPr id="84" name="Line 86"/>
        <xdr:cNvSpPr>
          <a:spLocks/>
        </xdr:cNvSpPr>
      </xdr:nvSpPr>
      <xdr:spPr>
        <a:xfrm flipH="1">
          <a:off x="4857750" y="638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17</xdr:row>
      <xdr:rowOff>104775</xdr:rowOff>
    </xdr:from>
    <xdr:to>
      <xdr:col>7</xdr:col>
      <xdr:colOff>152400</xdr:colOff>
      <xdr:row>17</xdr:row>
      <xdr:rowOff>104775</xdr:rowOff>
    </xdr:to>
    <xdr:sp>
      <xdr:nvSpPr>
        <xdr:cNvPr id="85" name="Line 87"/>
        <xdr:cNvSpPr>
          <a:spLocks/>
        </xdr:cNvSpPr>
      </xdr:nvSpPr>
      <xdr:spPr>
        <a:xfrm flipH="1">
          <a:off x="3352800" y="29432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17</xdr:row>
      <xdr:rowOff>114300</xdr:rowOff>
    </xdr:from>
    <xdr:to>
      <xdr:col>10</xdr:col>
      <xdr:colOff>0</xdr:colOff>
      <xdr:row>17</xdr:row>
      <xdr:rowOff>114300</xdr:rowOff>
    </xdr:to>
    <xdr:sp>
      <xdr:nvSpPr>
        <xdr:cNvPr id="86" name="Line 88"/>
        <xdr:cNvSpPr>
          <a:spLocks/>
        </xdr:cNvSpPr>
      </xdr:nvSpPr>
      <xdr:spPr>
        <a:xfrm>
          <a:off x="5314950" y="29527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33</xdr:row>
      <xdr:rowOff>9525</xdr:rowOff>
    </xdr:from>
    <xdr:to>
      <xdr:col>0</xdr:col>
      <xdr:colOff>590550</xdr:colOff>
      <xdr:row>40</xdr:row>
      <xdr:rowOff>57150</xdr:rowOff>
    </xdr:to>
    <xdr:sp>
      <xdr:nvSpPr>
        <xdr:cNvPr id="87" name="Line 89"/>
        <xdr:cNvSpPr>
          <a:spLocks/>
        </xdr:cNvSpPr>
      </xdr:nvSpPr>
      <xdr:spPr>
        <a:xfrm>
          <a:off x="590550" y="552450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19050</xdr:rowOff>
    </xdr:from>
    <xdr:to>
      <xdr:col>2</xdr:col>
      <xdr:colOff>0</xdr:colOff>
      <xdr:row>40</xdr:row>
      <xdr:rowOff>0</xdr:rowOff>
    </xdr:to>
    <xdr:sp>
      <xdr:nvSpPr>
        <xdr:cNvPr id="88" name="Line 90"/>
        <xdr:cNvSpPr>
          <a:spLocks/>
        </xdr:cNvSpPr>
      </xdr:nvSpPr>
      <xdr:spPr>
        <a:xfrm>
          <a:off x="1219200" y="5534025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33</xdr:row>
      <xdr:rowOff>9525</xdr:rowOff>
    </xdr:from>
    <xdr:to>
      <xdr:col>4</xdr:col>
      <xdr:colOff>57150</xdr:colOff>
      <xdr:row>33</xdr:row>
      <xdr:rowOff>9525</xdr:rowOff>
    </xdr:to>
    <xdr:sp>
      <xdr:nvSpPr>
        <xdr:cNvPr id="89" name="Line 91"/>
        <xdr:cNvSpPr>
          <a:spLocks/>
        </xdr:cNvSpPr>
      </xdr:nvSpPr>
      <xdr:spPr>
        <a:xfrm>
          <a:off x="590550" y="55245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19050</xdr:colOff>
      <xdr:row>31</xdr:row>
      <xdr:rowOff>0</xdr:rowOff>
    </xdr:to>
    <xdr:sp>
      <xdr:nvSpPr>
        <xdr:cNvPr id="90" name="Line 92"/>
        <xdr:cNvSpPr>
          <a:spLocks/>
        </xdr:cNvSpPr>
      </xdr:nvSpPr>
      <xdr:spPr>
        <a:xfrm>
          <a:off x="609600" y="513397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41</xdr:row>
      <xdr:rowOff>0</xdr:rowOff>
    </xdr:from>
    <xdr:to>
      <xdr:col>18</xdr:col>
      <xdr:colOff>76200</xdr:colOff>
      <xdr:row>41</xdr:row>
      <xdr:rowOff>0</xdr:rowOff>
    </xdr:to>
    <xdr:sp>
      <xdr:nvSpPr>
        <xdr:cNvPr id="91" name="Line 93"/>
        <xdr:cNvSpPr>
          <a:spLocks/>
        </xdr:cNvSpPr>
      </xdr:nvSpPr>
      <xdr:spPr>
        <a:xfrm>
          <a:off x="9048750" y="70389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43</xdr:row>
      <xdr:rowOff>0</xdr:rowOff>
    </xdr:from>
    <xdr:to>
      <xdr:col>15</xdr:col>
      <xdr:colOff>590550</xdr:colOff>
      <xdr:row>43</xdr:row>
      <xdr:rowOff>0</xdr:rowOff>
    </xdr:to>
    <xdr:sp>
      <xdr:nvSpPr>
        <xdr:cNvPr id="92" name="Line 94"/>
        <xdr:cNvSpPr>
          <a:spLocks/>
        </xdr:cNvSpPr>
      </xdr:nvSpPr>
      <xdr:spPr>
        <a:xfrm>
          <a:off x="8553450" y="74199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33</xdr:row>
      <xdr:rowOff>9525</xdr:rowOff>
    </xdr:from>
    <xdr:to>
      <xdr:col>14</xdr:col>
      <xdr:colOff>19050</xdr:colOff>
      <xdr:row>43</xdr:row>
      <xdr:rowOff>0</xdr:rowOff>
    </xdr:to>
    <xdr:sp>
      <xdr:nvSpPr>
        <xdr:cNvPr id="93" name="Line 95"/>
        <xdr:cNvSpPr>
          <a:spLocks/>
        </xdr:cNvSpPr>
      </xdr:nvSpPr>
      <xdr:spPr>
        <a:xfrm>
          <a:off x="2419350" y="5524500"/>
          <a:ext cx="613410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32</xdr:row>
      <xdr:rowOff>9525</xdr:rowOff>
    </xdr:to>
    <xdr:sp>
      <xdr:nvSpPr>
        <xdr:cNvPr id="94" name="Line 96"/>
        <xdr:cNvSpPr>
          <a:spLocks/>
        </xdr:cNvSpPr>
      </xdr:nvSpPr>
      <xdr:spPr>
        <a:xfrm>
          <a:off x="3048000" y="51339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590550</xdr:colOff>
      <xdr:row>32</xdr:row>
      <xdr:rowOff>9525</xdr:rowOff>
    </xdr:to>
    <xdr:sp>
      <xdr:nvSpPr>
        <xdr:cNvPr id="95" name="Line 97"/>
        <xdr:cNvSpPr>
          <a:spLocks/>
        </xdr:cNvSpPr>
      </xdr:nvSpPr>
      <xdr:spPr>
        <a:xfrm>
          <a:off x="3048000" y="5334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9525</xdr:rowOff>
    </xdr:from>
    <xdr:to>
      <xdr:col>6</xdr:col>
      <xdr:colOff>0</xdr:colOff>
      <xdr:row>33</xdr:row>
      <xdr:rowOff>9525</xdr:rowOff>
    </xdr:to>
    <xdr:sp>
      <xdr:nvSpPr>
        <xdr:cNvPr id="96" name="Line 98"/>
        <xdr:cNvSpPr>
          <a:spLocks/>
        </xdr:cNvSpPr>
      </xdr:nvSpPr>
      <xdr:spPr>
        <a:xfrm>
          <a:off x="3657600" y="53340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33</xdr:row>
      <xdr:rowOff>9525</xdr:rowOff>
    </xdr:from>
    <xdr:to>
      <xdr:col>7</xdr:col>
      <xdr:colOff>0</xdr:colOff>
      <xdr:row>33</xdr:row>
      <xdr:rowOff>9525</xdr:rowOff>
    </xdr:to>
    <xdr:sp>
      <xdr:nvSpPr>
        <xdr:cNvPr id="97" name="Line 99"/>
        <xdr:cNvSpPr>
          <a:spLocks/>
        </xdr:cNvSpPr>
      </xdr:nvSpPr>
      <xdr:spPr>
        <a:xfrm>
          <a:off x="3676650" y="55245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9525</xdr:rowOff>
    </xdr:to>
    <xdr:sp>
      <xdr:nvSpPr>
        <xdr:cNvPr id="98" name="Line 100"/>
        <xdr:cNvSpPr>
          <a:spLocks/>
        </xdr:cNvSpPr>
      </xdr:nvSpPr>
      <xdr:spPr>
        <a:xfrm>
          <a:off x="4267200" y="55245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34</xdr:row>
      <xdr:rowOff>9525</xdr:rowOff>
    </xdr:from>
    <xdr:to>
      <xdr:col>8</xdr:col>
      <xdr:colOff>19050</xdr:colOff>
      <xdr:row>34</xdr:row>
      <xdr:rowOff>180975</xdr:rowOff>
    </xdr:to>
    <xdr:grpSp>
      <xdr:nvGrpSpPr>
        <xdr:cNvPr id="99" name="Group 101"/>
        <xdr:cNvGrpSpPr>
          <a:grpSpLocks/>
        </xdr:cNvGrpSpPr>
      </xdr:nvGrpSpPr>
      <xdr:grpSpPr>
        <a:xfrm>
          <a:off x="4286250" y="5715000"/>
          <a:ext cx="609600" cy="171450"/>
          <a:chOff x="224" y="450"/>
          <a:chExt cx="32" cy="18"/>
        </a:xfrm>
        <a:solidFill>
          <a:srgbClr val="FFFFFF"/>
        </a:solidFill>
      </xdr:grpSpPr>
      <xdr:sp>
        <xdr:nvSpPr>
          <xdr:cNvPr id="100" name="Line 102"/>
          <xdr:cNvSpPr>
            <a:spLocks/>
          </xdr:cNvSpPr>
        </xdr:nvSpPr>
        <xdr:spPr>
          <a:xfrm>
            <a:off x="224" y="450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03"/>
          <xdr:cNvSpPr>
            <a:spLocks/>
          </xdr:cNvSpPr>
        </xdr:nvSpPr>
        <xdr:spPr>
          <a:xfrm>
            <a:off x="256" y="450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35</xdr:row>
      <xdr:rowOff>9525</xdr:rowOff>
    </xdr:from>
    <xdr:to>
      <xdr:col>9</xdr:col>
      <xdr:colOff>0</xdr:colOff>
      <xdr:row>35</xdr:row>
      <xdr:rowOff>180975</xdr:rowOff>
    </xdr:to>
    <xdr:grpSp>
      <xdr:nvGrpSpPr>
        <xdr:cNvPr id="102" name="Group 104"/>
        <xdr:cNvGrpSpPr>
          <a:grpSpLocks/>
        </xdr:cNvGrpSpPr>
      </xdr:nvGrpSpPr>
      <xdr:grpSpPr>
        <a:xfrm>
          <a:off x="4876800" y="5905500"/>
          <a:ext cx="609600" cy="171450"/>
          <a:chOff x="224" y="450"/>
          <a:chExt cx="32" cy="18"/>
        </a:xfrm>
        <a:solidFill>
          <a:srgbClr val="FFFFFF"/>
        </a:solidFill>
      </xdr:grpSpPr>
      <xdr:sp>
        <xdr:nvSpPr>
          <xdr:cNvPr id="103" name="Line 105"/>
          <xdr:cNvSpPr>
            <a:spLocks/>
          </xdr:cNvSpPr>
        </xdr:nvSpPr>
        <xdr:spPr>
          <a:xfrm>
            <a:off x="224" y="450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06"/>
          <xdr:cNvSpPr>
            <a:spLocks/>
          </xdr:cNvSpPr>
        </xdr:nvSpPr>
        <xdr:spPr>
          <a:xfrm>
            <a:off x="256" y="450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36</xdr:row>
      <xdr:rowOff>9525</xdr:rowOff>
    </xdr:from>
    <xdr:to>
      <xdr:col>10</xdr:col>
      <xdr:colOff>0</xdr:colOff>
      <xdr:row>36</xdr:row>
      <xdr:rowOff>180975</xdr:rowOff>
    </xdr:to>
    <xdr:grpSp>
      <xdr:nvGrpSpPr>
        <xdr:cNvPr id="105" name="Group 107"/>
        <xdr:cNvGrpSpPr>
          <a:grpSpLocks/>
        </xdr:cNvGrpSpPr>
      </xdr:nvGrpSpPr>
      <xdr:grpSpPr>
        <a:xfrm>
          <a:off x="5486400" y="6096000"/>
          <a:ext cx="609600" cy="171450"/>
          <a:chOff x="224" y="450"/>
          <a:chExt cx="32" cy="18"/>
        </a:xfrm>
        <a:solidFill>
          <a:srgbClr val="FFFFFF"/>
        </a:solidFill>
      </xdr:grpSpPr>
      <xdr:sp>
        <xdr:nvSpPr>
          <xdr:cNvPr id="106" name="Line 108"/>
          <xdr:cNvSpPr>
            <a:spLocks/>
          </xdr:cNvSpPr>
        </xdr:nvSpPr>
        <xdr:spPr>
          <a:xfrm>
            <a:off x="224" y="450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09"/>
          <xdr:cNvSpPr>
            <a:spLocks/>
          </xdr:cNvSpPr>
        </xdr:nvSpPr>
        <xdr:spPr>
          <a:xfrm>
            <a:off x="256" y="450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37</xdr:row>
      <xdr:rowOff>9525</xdr:rowOff>
    </xdr:from>
    <xdr:to>
      <xdr:col>11</xdr:col>
      <xdr:colOff>0</xdr:colOff>
      <xdr:row>37</xdr:row>
      <xdr:rowOff>180975</xdr:rowOff>
    </xdr:to>
    <xdr:grpSp>
      <xdr:nvGrpSpPr>
        <xdr:cNvPr id="108" name="Group 110"/>
        <xdr:cNvGrpSpPr>
          <a:grpSpLocks/>
        </xdr:cNvGrpSpPr>
      </xdr:nvGrpSpPr>
      <xdr:grpSpPr>
        <a:xfrm>
          <a:off x="6096000" y="6286500"/>
          <a:ext cx="609600" cy="171450"/>
          <a:chOff x="224" y="450"/>
          <a:chExt cx="32" cy="18"/>
        </a:xfrm>
        <a:solidFill>
          <a:srgbClr val="FFFFFF"/>
        </a:solidFill>
      </xdr:grpSpPr>
      <xdr:sp>
        <xdr:nvSpPr>
          <xdr:cNvPr id="109" name="Line 111"/>
          <xdr:cNvSpPr>
            <a:spLocks/>
          </xdr:cNvSpPr>
        </xdr:nvSpPr>
        <xdr:spPr>
          <a:xfrm>
            <a:off x="224" y="450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112"/>
          <xdr:cNvSpPr>
            <a:spLocks/>
          </xdr:cNvSpPr>
        </xdr:nvSpPr>
        <xdr:spPr>
          <a:xfrm>
            <a:off x="256" y="450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38</xdr:row>
      <xdr:rowOff>9525</xdr:rowOff>
    </xdr:from>
    <xdr:to>
      <xdr:col>12</xdr:col>
      <xdr:colOff>0</xdr:colOff>
      <xdr:row>38</xdr:row>
      <xdr:rowOff>180975</xdr:rowOff>
    </xdr:to>
    <xdr:grpSp>
      <xdr:nvGrpSpPr>
        <xdr:cNvPr id="111" name="Group 113"/>
        <xdr:cNvGrpSpPr>
          <a:grpSpLocks/>
        </xdr:cNvGrpSpPr>
      </xdr:nvGrpSpPr>
      <xdr:grpSpPr>
        <a:xfrm>
          <a:off x="6705600" y="6477000"/>
          <a:ext cx="609600" cy="171450"/>
          <a:chOff x="224" y="450"/>
          <a:chExt cx="32" cy="18"/>
        </a:xfrm>
        <a:solidFill>
          <a:srgbClr val="FFFFFF"/>
        </a:solidFill>
      </xdr:grpSpPr>
      <xdr:sp>
        <xdr:nvSpPr>
          <xdr:cNvPr id="112" name="Line 114"/>
          <xdr:cNvSpPr>
            <a:spLocks/>
          </xdr:cNvSpPr>
        </xdr:nvSpPr>
        <xdr:spPr>
          <a:xfrm>
            <a:off x="224" y="450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5"/>
          <xdr:cNvSpPr>
            <a:spLocks/>
          </xdr:cNvSpPr>
        </xdr:nvSpPr>
        <xdr:spPr>
          <a:xfrm>
            <a:off x="256" y="450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39</xdr:row>
      <xdr:rowOff>9525</xdr:rowOff>
    </xdr:from>
    <xdr:to>
      <xdr:col>13</xdr:col>
      <xdr:colOff>0</xdr:colOff>
      <xdr:row>39</xdr:row>
      <xdr:rowOff>180975</xdr:rowOff>
    </xdr:to>
    <xdr:grpSp>
      <xdr:nvGrpSpPr>
        <xdr:cNvPr id="114" name="Group 116"/>
        <xdr:cNvGrpSpPr>
          <a:grpSpLocks/>
        </xdr:cNvGrpSpPr>
      </xdr:nvGrpSpPr>
      <xdr:grpSpPr>
        <a:xfrm>
          <a:off x="7315200" y="6667500"/>
          <a:ext cx="609600" cy="171450"/>
          <a:chOff x="224" y="450"/>
          <a:chExt cx="32" cy="18"/>
        </a:xfrm>
        <a:solidFill>
          <a:srgbClr val="FFFFFF"/>
        </a:solidFill>
      </xdr:grpSpPr>
      <xdr:sp>
        <xdr:nvSpPr>
          <xdr:cNvPr id="115" name="Line 117"/>
          <xdr:cNvSpPr>
            <a:spLocks/>
          </xdr:cNvSpPr>
        </xdr:nvSpPr>
        <xdr:spPr>
          <a:xfrm>
            <a:off x="224" y="450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118"/>
          <xdr:cNvSpPr>
            <a:spLocks/>
          </xdr:cNvSpPr>
        </xdr:nvSpPr>
        <xdr:spPr>
          <a:xfrm>
            <a:off x="256" y="450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40</xdr:row>
      <xdr:rowOff>9525</xdr:rowOff>
    </xdr:from>
    <xdr:to>
      <xdr:col>14</xdr:col>
      <xdr:colOff>0</xdr:colOff>
      <xdr:row>40</xdr:row>
      <xdr:rowOff>180975</xdr:rowOff>
    </xdr:to>
    <xdr:grpSp>
      <xdr:nvGrpSpPr>
        <xdr:cNvPr id="117" name="Group 119"/>
        <xdr:cNvGrpSpPr>
          <a:grpSpLocks/>
        </xdr:cNvGrpSpPr>
      </xdr:nvGrpSpPr>
      <xdr:grpSpPr>
        <a:xfrm>
          <a:off x="7924800" y="6858000"/>
          <a:ext cx="609600" cy="171450"/>
          <a:chOff x="224" y="450"/>
          <a:chExt cx="32" cy="18"/>
        </a:xfrm>
        <a:solidFill>
          <a:srgbClr val="FFFFFF"/>
        </a:solidFill>
      </xdr:grpSpPr>
      <xdr:sp>
        <xdr:nvSpPr>
          <xdr:cNvPr id="118" name="Line 120"/>
          <xdr:cNvSpPr>
            <a:spLocks/>
          </xdr:cNvSpPr>
        </xdr:nvSpPr>
        <xdr:spPr>
          <a:xfrm>
            <a:off x="224" y="450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21"/>
          <xdr:cNvSpPr>
            <a:spLocks/>
          </xdr:cNvSpPr>
        </xdr:nvSpPr>
        <xdr:spPr>
          <a:xfrm>
            <a:off x="256" y="450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20" name="Line 122"/>
        <xdr:cNvSpPr>
          <a:spLocks/>
        </xdr:cNvSpPr>
      </xdr:nvSpPr>
      <xdr:spPr>
        <a:xfrm>
          <a:off x="8534400" y="70389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0</xdr:colOff>
      <xdr:row>47</xdr:row>
      <xdr:rowOff>0</xdr:rowOff>
    </xdr:to>
    <xdr:sp>
      <xdr:nvSpPr>
        <xdr:cNvPr id="121" name="Line 123"/>
        <xdr:cNvSpPr>
          <a:spLocks/>
        </xdr:cNvSpPr>
      </xdr:nvSpPr>
      <xdr:spPr>
        <a:xfrm>
          <a:off x="9753600" y="7419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41</xdr:row>
      <xdr:rowOff>133350</xdr:rowOff>
    </xdr:from>
    <xdr:to>
      <xdr:col>17</xdr:col>
      <xdr:colOff>0</xdr:colOff>
      <xdr:row>46</xdr:row>
      <xdr:rowOff>161925</xdr:rowOff>
    </xdr:to>
    <xdr:sp>
      <xdr:nvSpPr>
        <xdr:cNvPr id="122" name="Line 124"/>
        <xdr:cNvSpPr>
          <a:spLocks/>
        </xdr:cNvSpPr>
      </xdr:nvSpPr>
      <xdr:spPr>
        <a:xfrm>
          <a:off x="10363200" y="71723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41</xdr:row>
      <xdr:rowOff>123825</xdr:rowOff>
    </xdr:from>
    <xdr:to>
      <xdr:col>18</xdr:col>
      <xdr:colOff>114300</xdr:colOff>
      <xdr:row>41</xdr:row>
      <xdr:rowOff>123825</xdr:rowOff>
    </xdr:to>
    <xdr:sp>
      <xdr:nvSpPr>
        <xdr:cNvPr id="123" name="Line 125"/>
        <xdr:cNvSpPr>
          <a:spLocks/>
        </xdr:cNvSpPr>
      </xdr:nvSpPr>
      <xdr:spPr>
        <a:xfrm>
          <a:off x="10363200" y="7162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31</xdr:row>
      <xdr:rowOff>66675</xdr:rowOff>
    </xdr:from>
    <xdr:to>
      <xdr:col>14</xdr:col>
      <xdr:colOff>38100</xdr:colOff>
      <xdr:row>42</xdr:row>
      <xdr:rowOff>133350</xdr:rowOff>
    </xdr:to>
    <xdr:sp>
      <xdr:nvSpPr>
        <xdr:cNvPr id="124" name="Line 126"/>
        <xdr:cNvSpPr>
          <a:spLocks/>
        </xdr:cNvSpPr>
      </xdr:nvSpPr>
      <xdr:spPr>
        <a:xfrm>
          <a:off x="1619250" y="5200650"/>
          <a:ext cx="6953250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42</xdr:row>
      <xdr:rowOff>133350</xdr:rowOff>
    </xdr:from>
    <xdr:to>
      <xdr:col>16</xdr:col>
      <xdr:colOff>590550</xdr:colOff>
      <xdr:row>42</xdr:row>
      <xdr:rowOff>133350</xdr:rowOff>
    </xdr:to>
    <xdr:sp>
      <xdr:nvSpPr>
        <xdr:cNvPr id="125" name="Line 127"/>
        <xdr:cNvSpPr>
          <a:spLocks/>
        </xdr:cNvSpPr>
      </xdr:nvSpPr>
      <xdr:spPr>
        <a:xfrm>
          <a:off x="8591550" y="73628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47625</xdr:rowOff>
    </xdr:from>
    <xdr:to>
      <xdr:col>3</xdr:col>
      <xdr:colOff>590550</xdr:colOff>
      <xdr:row>31</xdr:row>
      <xdr:rowOff>47625</xdr:rowOff>
    </xdr:to>
    <xdr:sp>
      <xdr:nvSpPr>
        <xdr:cNvPr id="126" name="Line 128"/>
        <xdr:cNvSpPr>
          <a:spLocks/>
        </xdr:cNvSpPr>
      </xdr:nvSpPr>
      <xdr:spPr>
        <a:xfrm>
          <a:off x="666750" y="51816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31</xdr:row>
      <xdr:rowOff>47625</xdr:rowOff>
    </xdr:from>
    <xdr:to>
      <xdr:col>14</xdr:col>
      <xdr:colOff>76200</xdr:colOff>
      <xdr:row>41</xdr:row>
      <xdr:rowOff>85725</xdr:rowOff>
    </xdr:to>
    <xdr:sp>
      <xdr:nvSpPr>
        <xdr:cNvPr id="127" name="Line 129"/>
        <xdr:cNvSpPr>
          <a:spLocks/>
        </xdr:cNvSpPr>
      </xdr:nvSpPr>
      <xdr:spPr>
        <a:xfrm>
          <a:off x="2419350" y="5181600"/>
          <a:ext cx="619125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41</xdr:row>
      <xdr:rowOff>95250</xdr:rowOff>
    </xdr:from>
    <xdr:to>
      <xdr:col>16</xdr:col>
      <xdr:colOff>19050</xdr:colOff>
      <xdr:row>41</xdr:row>
      <xdr:rowOff>95250</xdr:rowOff>
    </xdr:to>
    <xdr:sp>
      <xdr:nvSpPr>
        <xdr:cNvPr id="128" name="Line 130"/>
        <xdr:cNvSpPr>
          <a:spLocks/>
        </xdr:cNvSpPr>
      </xdr:nvSpPr>
      <xdr:spPr>
        <a:xfrm>
          <a:off x="8648700" y="71342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32</xdr:row>
      <xdr:rowOff>152400</xdr:rowOff>
    </xdr:from>
    <xdr:to>
      <xdr:col>5</xdr:col>
      <xdr:colOff>457200</xdr:colOff>
      <xdr:row>32</xdr:row>
      <xdr:rowOff>152400</xdr:rowOff>
    </xdr:to>
    <xdr:sp>
      <xdr:nvSpPr>
        <xdr:cNvPr id="129" name="Line 131"/>
        <xdr:cNvSpPr>
          <a:spLocks/>
        </xdr:cNvSpPr>
      </xdr:nvSpPr>
      <xdr:spPr>
        <a:xfrm>
          <a:off x="685800" y="547687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41</xdr:row>
      <xdr:rowOff>28575</xdr:rowOff>
    </xdr:from>
    <xdr:to>
      <xdr:col>18</xdr:col>
      <xdr:colOff>19050</xdr:colOff>
      <xdr:row>41</xdr:row>
      <xdr:rowOff>28575</xdr:rowOff>
    </xdr:to>
    <xdr:sp>
      <xdr:nvSpPr>
        <xdr:cNvPr id="130" name="Line 132"/>
        <xdr:cNvSpPr>
          <a:spLocks/>
        </xdr:cNvSpPr>
      </xdr:nvSpPr>
      <xdr:spPr>
        <a:xfrm>
          <a:off x="7696200" y="7067550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41</xdr:row>
      <xdr:rowOff>104775</xdr:rowOff>
    </xdr:from>
    <xdr:to>
      <xdr:col>16</xdr:col>
      <xdr:colOff>57150</xdr:colOff>
      <xdr:row>42</xdr:row>
      <xdr:rowOff>114300</xdr:rowOff>
    </xdr:to>
    <xdr:sp>
      <xdr:nvSpPr>
        <xdr:cNvPr id="131" name="Line 139"/>
        <xdr:cNvSpPr>
          <a:spLocks/>
        </xdr:cNvSpPr>
      </xdr:nvSpPr>
      <xdr:spPr>
        <a:xfrm>
          <a:off x="9810750" y="7143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42</xdr:row>
      <xdr:rowOff>123825</xdr:rowOff>
    </xdr:from>
    <xdr:to>
      <xdr:col>16</xdr:col>
      <xdr:colOff>514350</xdr:colOff>
      <xdr:row>42</xdr:row>
      <xdr:rowOff>123825</xdr:rowOff>
    </xdr:to>
    <xdr:sp>
      <xdr:nvSpPr>
        <xdr:cNvPr id="132" name="Line 140"/>
        <xdr:cNvSpPr>
          <a:spLocks/>
        </xdr:cNvSpPr>
      </xdr:nvSpPr>
      <xdr:spPr>
        <a:xfrm>
          <a:off x="9810750" y="7353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41</xdr:row>
      <xdr:rowOff>114300</xdr:rowOff>
    </xdr:from>
    <xdr:to>
      <xdr:col>16</xdr:col>
      <xdr:colOff>495300</xdr:colOff>
      <xdr:row>42</xdr:row>
      <xdr:rowOff>123825</xdr:rowOff>
    </xdr:to>
    <xdr:sp>
      <xdr:nvSpPr>
        <xdr:cNvPr id="133" name="Line 141"/>
        <xdr:cNvSpPr>
          <a:spLocks/>
        </xdr:cNvSpPr>
      </xdr:nvSpPr>
      <xdr:spPr>
        <a:xfrm>
          <a:off x="10248900" y="71532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41</xdr:row>
      <xdr:rowOff>114300</xdr:rowOff>
    </xdr:from>
    <xdr:to>
      <xdr:col>16</xdr:col>
      <xdr:colOff>495300</xdr:colOff>
      <xdr:row>41</xdr:row>
      <xdr:rowOff>114300</xdr:rowOff>
    </xdr:to>
    <xdr:sp>
      <xdr:nvSpPr>
        <xdr:cNvPr id="134" name="Line 142"/>
        <xdr:cNvSpPr>
          <a:spLocks/>
        </xdr:cNvSpPr>
      </xdr:nvSpPr>
      <xdr:spPr>
        <a:xfrm>
          <a:off x="9791700" y="7153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32</xdr:row>
      <xdr:rowOff>161925</xdr:rowOff>
    </xdr:from>
    <xdr:to>
      <xdr:col>5</xdr:col>
      <xdr:colOff>552450</xdr:colOff>
      <xdr:row>33</xdr:row>
      <xdr:rowOff>19050</xdr:rowOff>
    </xdr:to>
    <xdr:sp>
      <xdr:nvSpPr>
        <xdr:cNvPr id="135" name="Oval 143"/>
        <xdr:cNvSpPr>
          <a:spLocks/>
        </xdr:cNvSpPr>
      </xdr:nvSpPr>
      <xdr:spPr>
        <a:xfrm>
          <a:off x="3524250" y="548640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33</xdr:row>
      <xdr:rowOff>142875</xdr:rowOff>
    </xdr:from>
    <xdr:to>
      <xdr:col>6</xdr:col>
      <xdr:colOff>552450</xdr:colOff>
      <xdr:row>34</xdr:row>
      <xdr:rowOff>0</xdr:rowOff>
    </xdr:to>
    <xdr:sp>
      <xdr:nvSpPr>
        <xdr:cNvPr id="136" name="Oval 144"/>
        <xdr:cNvSpPr>
          <a:spLocks/>
        </xdr:cNvSpPr>
      </xdr:nvSpPr>
      <xdr:spPr>
        <a:xfrm>
          <a:off x="4133850" y="565785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34</xdr:row>
      <xdr:rowOff>142875</xdr:rowOff>
    </xdr:from>
    <xdr:to>
      <xdr:col>7</xdr:col>
      <xdr:colOff>552450</xdr:colOff>
      <xdr:row>35</xdr:row>
      <xdr:rowOff>0</xdr:rowOff>
    </xdr:to>
    <xdr:sp>
      <xdr:nvSpPr>
        <xdr:cNvPr id="137" name="Oval 145"/>
        <xdr:cNvSpPr>
          <a:spLocks/>
        </xdr:cNvSpPr>
      </xdr:nvSpPr>
      <xdr:spPr>
        <a:xfrm>
          <a:off x="4743450" y="584835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35</xdr:row>
      <xdr:rowOff>142875</xdr:rowOff>
    </xdr:from>
    <xdr:to>
      <xdr:col>8</xdr:col>
      <xdr:colOff>552450</xdr:colOff>
      <xdr:row>36</xdr:row>
      <xdr:rowOff>0</xdr:rowOff>
    </xdr:to>
    <xdr:sp>
      <xdr:nvSpPr>
        <xdr:cNvPr id="138" name="Oval 146"/>
        <xdr:cNvSpPr>
          <a:spLocks/>
        </xdr:cNvSpPr>
      </xdr:nvSpPr>
      <xdr:spPr>
        <a:xfrm>
          <a:off x="5353050" y="603885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36</xdr:row>
      <xdr:rowOff>133350</xdr:rowOff>
    </xdr:from>
    <xdr:to>
      <xdr:col>9</xdr:col>
      <xdr:colOff>533400</xdr:colOff>
      <xdr:row>36</xdr:row>
      <xdr:rowOff>180975</xdr:rowOff>
    </xdr:to>
    <xdr:sp>
      <xdr:nvSpPr>
        <xdr:cNvPr id="139" name="Oval 147"/>
        <xdr:cNvSpPr>
          <a:spLocks/>
        </xdr:cNvSpPr>
      </xdr:nvSpPr>
      <xdr:spPr>
        <a:xfrm>
          <a:off x="5943600" y="6219825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31</xdr:row>
      <xdr:rowOff>152400</xdr:rowOff>
    </xdr:from>
    <xdr:to>
      <xdr:col>4</xdr:col>
      <xdr:colOff>552450</xdr:colOff>
      <xdr:row>32</xdr:row>
      <xdr:rowOff>9525</xdr:rowOff>
    </xdr:to>
    <xdr:sp>
      <xdr:nvSpPr>
        <xdr:cNvPr id="140" name="Oval 148"/>
        <xdr:cNvSpPr>
          <a:spLocks/>
        </xdr:cNvSpPr>
      </xdr:nvSpPr>
      <xdr:spPr>
        <a:xfrm>
          <a:off x="2914650" y="5286375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37</xdr:row>
      <xdr:rowOff>133350</xdr:rowOff>
    </xdr:from>
    <xdr:to>
      <xdr:col>10</xdr:col>
      <xdr:colOff>552450</xdr:colOff>
      <xdr:row>37</xdr:row>
      <xdr:rowOff>180975</xdr:rowOff>
    </xdr:to>
    <xdr:sp>
      <xdr:nvSpPr>
        <xdr:cNvPr id="141" name="Oval 149"/>
        <xdr:cNvSpPr>
          <a:spLocks/>
        </xdr:cNvSpPr>
      </xdr:nvSpPr>
      <xdr:spPr>
        <a:xfrm>
          <a:off x="6572250" y="6410325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38</xdr:row>
      <xdr:rowOff>142875</xdr:rowOff>
    </xdr:from>
    <xdr:to>
      <xdr:col>11</xdr:col>
      <xdr:colOff>552450</xdr:colOff>
      <xdr:row>39</xdr:row>
      <xdr:rowOff>0</xdr:rowOff>
    </xdr:to>
    <xdr:sp>
      <xdr:nvSpPr>
        <xdr:cNvPr id="142" name="Oval 150"/>
        <xdr:cNvSpPr>
          <a:spLocks/>
        </xdr:cNvSpPr>
      </xdr:nvSpPr>
      <xdr:spPr>
        <a:xfrm>
          <a:off x="7181850" y="661035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39</xdr:row>
      <xdr:rowOff>142875</xdr:rowOff>
    </xdr:from>
    <xdr:to>
      <xdr:col>12</xdr:col>
      <xdr:colOff>552450</xdr:colOff>
      <xdr:row>40</xdr:row>
      <xdr:rowOff>0</xdr:rowOff>
    </xdr:to>
    <xdr:sp>
      <xdr:nvSpPr>
        <xdr:cNvPr id="143" name="Oval 151"/>
        <xdr:cNvSpPr>
          <a:spLocks/>
        </xdr:cNvSpPr>
      </xdr:nvSpPr>
      <xdr:spPr>
        <a:xfrm>
          <a:off x="7791450" y="680085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40</xdr:row>
      <xdr:rowOff>142875</xdr:rowOff>
    </xdr:from>
    <xdr:to>
      <xdr:col>13</xdr:col>
      <xdr:colOff>552450</xdr:colOff>
      <xdr:row>41</xdr:row>
      <xdr:rowOff>0</xdr:rowOff>
    </xdr:to>
    <xdr:sp>
      <xdr:nvSpPr>
        <xdr:cNvPr id="144" name="Oval 152"/>
        <xdr:cNvSpPr>
          <a:spLocks/>
        </xdr:cNvSpPr>
      </xdr:nvSpPr>
      <xdr:spPr>
        <a:xfrm>
          <a:off x="8401050" y="699135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41</xdr:row>
      <xdr:rowOff>47625</xdr:rowOff>
    </xdr:from>
    <xdr:to>
      <xdr:col>14</xdr:col>
      <xdr:colOff>171450</xdr:colOff>
      <xdr:row>41</xdr:row>
      <xdr:rowOff>95250</xdr:rowOff>
    </xdr:to>
    <xdr:sp>
      <xdr:nvSpPr>
        <xdr:cNvPr id="145" name="Oval 153"/>
        <xdr:cNvSpPr>
          <a:spLocks/>
        </xdr:cNvSpPr>
      </xdr:nvSpPr>
      <xdr:spPr>
        <a:xfrm>
          <a:off x="8629650" y="708660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590550</xdr:colOff>
      <xdr:row>41</xdr:row>
      <xdr:rowOff>38100</xdr:rowOff>
    </xdr:from>
    <xdr:to>
      <xdr:col>16</xdr:col>
      <xdr:colOff>57150</xdr:colOff>
      <xdr:row>41</xdr:row>
      <xdr:rowOff>85725</xdr:rowOff>
    </xdr:to>
    <xdr:sp>
      <xdr:nvSpPr>
        <xdr:cNvPr id="146" name="Oval 154"/>
        <xdr:cNvSpPr>
          <a:spLocks/>
        </xdr:cNvSpPr>
      </xdr:nvSpPr>
      <xdr:spPr>
        <a:xfrm>
          <a:off x="9734550" y="7077075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42</xdr:row>
      <xdr:rowOff>66675</xdr:rowOff>
    </xdr:from>
    <xdr:to>
      <xdr:col>16</xdr:col>
      <xdr:colOff>152400</xdr:colOff>
      <xdr:row>42</xdr:row>
      <xdr:rowOff>114300</xdr:rowOff>
    </xdr:to>
    <xdr:sp>
      <xdr:nvSpPr>
        <xdr:cNvPr id="147" name="Oval 155"/>
        <xdr:cNvSpPr>
          <a:spLocks/>
        </xdr:cNvSpPr>
      </xdr:nvSpPr>
      <xdr:spPr>
        <a:xfrm>
          <a:off x="9829800" y="729615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41</xdr:row>
      <xdr:rowOff>123825</xdr:rowOff>
    </xdr:from>
    <xdr:to>
      <xdr:col>16</xdr:col>
      <xdr:colOff>476250</xdr:colOff>
      <xdr:row>41</xdr:row>
      <xdr:rowOff>171450</xdr:rowOff>
    </xdr:to>
    <xdr:sp>
      <xdr:nvSpPr>
        <xdr:cNvPr id="148" name="Oval 156"/>
        <xdr:cNvSpPr>
          <a:spLocks/>
        </xdr:cNvSpPr>
      </xdr:nvSpPr>
      <xdr:spPr>
        <a:xfrm>
          <a:off x="10153650" y="716280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41</xdr:row>
      <xdr:rowOff>133350</xdr:rowOff>
    </xdr:from>
    <xdr:to>
      <xdr:col>16</xdr:col>
      <xdr:colOff>171450</xdr:colOff>
      <xdr:row>41</xdr:row>
      <xdr:rowOff>180975</xdr:rowOff>
    </xdr:to>
    <xdr:sp>
      <xdr:nvSpPr>
        <xdr:cNvPr id="149" name="Oval 157"/>
        <xdr:cNvSpPr>
          <a:spLocks/>
        </xdr:cNvSpPr>
      </xdr:nvSpPr>
      <xdr:spPr>
        <a:xfrm>
          <a:off x="9848850" y="7172325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514350</xdr:colOff>
      <xdr:row>41</xdr:row>
      <xdr:rowOff>38100</xdr:rowOff>
    </xdr:from>
    <xdr:to>
      <xdr:col>17</xdr:col>
      <xdr:colOff>590550</xdr:colOff>
      <xdr:row>41</xdr:row>
      <xdr:rowOff>85725</xdr:rowOff>
    </xdr:to>
    <xdr:sp>
      <xdr:nvSpPr>
        <xdr:cNvPr id="150" name="Oval 158"/>
        <xdr:cNvSpPr>
          <a:spLocks/>
        </xdr:cNvSpPr>
      </xdr:nvSpPr>
      <xdr:spPr>
        <a:xfrm>
          <a:off x="10877550" y="7077075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41</xdr:row>
      <xdr:rowOff>38100</xdr:rowOff>
    </xdr:from>
    <xdr:to>
      <xdr:col>17</xdr:col>
      <xdr:colOff>38100</xdr:colOff>
      <xdr:row>41</xdr:row>
      <xdr:rowOff>85725</xdr:rowOff>
    </xdr:to>
    <xdr:sp>
      <xdr:nvSpPr>
        <xdr:cNvPr id="151" name="Oval 159"/>
        <xdr:cNvSpPr>
          <a:spLocks/>
        </xdr:cNvSpPr>
      </xdr:nvSpPr>
      <xdr:spPr>
        <a:xfrm>
          <a:off x="10325100" y="7077075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76200</xdr:colOff>
      <xdr:row>41</xdr:row>
      <xdr:rowOff>85725</xdr:rowOff>
    </xdr:to>
    <xdr:sp>
      <xdr:nvSpPr>
        <xdr:cNvPr id="152" name="Oval 160"/>
        <xdr:cNvSpPr>
          <a:spLocks/>
        </xdr:cNvSpPr>
      </xdr:nvSpPr>
      <xdr:spPr>
        <a:xfrm>
          <a:off x="9144000" y="7077075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42</xdr:row>
      <xdr:rowOff>76200</xdr:rowOff>
    </xdr:from>
    <xdr:to>
      <xdr:col>16</xdr:col>
      <xdr:colOff>323850</xdr:colOff>
      <xdr:row>42</xdr:row>
      <xdr:rowOff>123825</xdr:rowOff>
    </xdr:to>
    <xdr:sp>
      <xdr:nvSpPr>
        <xdr:cNvPr id="153" name="Oval 161"/>
        <xdr:cNvSpPr>
          <a:spLocks/>
        </xdr:cNvSpPr>
      </xdr:nvSpPr>
      <xdr:spPr>
        <a:xfrm>
          <a:off x="10001250" y="7305675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42</xdr:row>
      <xdr:rowOff>66675</xdr:rowOff>
    </xdr:from>
    <xdr:to>
      <xdr:col>16</xdr:col>
      <xdr:colOff>495300</xdr:colOff>
      <xdr:row>42</xdr:row>
      <xdr:rowOff>114300</xdr:rowOff>
    </xdr:to>
    <xdr:sp>
      <xdr:nvSpPr>
        <xdr:cNvPr id="154" name="Oval 162"/>
        <xdr:cNvSpPr>
          <a:spLocks/>
        </xdr:cNvSpPr>
      </xdr:nvSpPr>
      <xdr:spPr>
        <a:xfrm>
          <a:off x="10172700" y="729615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76200</xdr:colOff>
      <xdr:row>41</xdr:row>
      <xdr:rowOff>0</xdr:rowOff>
    </xdr:from>
    <xdr:to>
      <xdr:col>18</xdr:col>
      <xdr:colOff>76200</xdr:colOff>
      <xdr:row>41</xdr:row>
      <xdr:rowOff>114300</xdr:rowOff>
    </xdr:to>
    <xdr:sp>
      <xdr:nvSpPr>
        <xdr:cNvPr id="155" name="Line 163"/>
        <xdr:cNvSpPr>
          <a:spLocks/>
        </xdr:cNvSpPr>
      </xdr:nvSpPr>
      <xdr:spPr>
        <a:xfrm>
          <a:off x="11049000" y="70389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>
      <xdr:nvSpPr>
        <xdr:cNvPr id="156" name="Line 164"/>
        <xdr:cNvSpPr>
          <a:spLocks/>
        </xdr:cNvSpPr>
      </xdr:nvSpPr>
      <xdr:spPr>
        <a:xfrm>
          <a:off x="2438400" y="8753475"/>
          <a:ext cx="670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19050</xdr:rowOff>
    </xdr:from>
    <xdr:to>
      <xdr:col>8</xdr:col>
      <xdr:colOff>0</xdr:colOff>
      <xdr:row>56</xdr:row>
      <xdr:rowOff>180975</xdr:rowOff>
    </xdr:to>
    <xdr:sp>
      <xdr:nvSpPr>
        <xdr:cNvPr id="157" name="Line 165"/>
        <xdr:cNvSpPr>
          <a:spLocks/>
        </xdr:cNvSpPr>
      </xdr:nvSpPr>
      <xdr:spPr>
        <a:xfrm>
          <a:off x="4876800" y="915352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180975</xdr:rowOff>
    </xdr:from>
    <xdr:to>
      <xdr:col>11</xdr:col>
      <xdr:colOff>0</xdr:colOff>
      <xdr:row>57</xdr:row>
      <xdr:rowOff>9525</xdr:rowOff>
    </xdr:to>
    <xdr:sp>
      <xdr:nvSpPr>
        <xdr:cNvPr id="158" name="Line 166"/>
        <xdr:cNvSpPr>
          <a:spLocks/>
        </xdr:cNvSpPr>
      </xdr:nvSpPr>
      <xdr:spPr>
        <a:xfrm>
          <a:off x="6705600" y="91249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59" name="Line 167"/>
        <xdr:cNvSpPr>
          <a:spLocks/>
        </xdr:cNvSpPr>
      </xdr:nvSpPr>
      <xdr:spPr>
        <a:xfrm>
          <a:off x="2419350" y="913447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15</xdr:col>
      <xdr:colOff>57150</xdr:colOff>
      <xdr:row>52</xdr:row>
      <xdr:rowOff>0</xdr:rowOff>
    </xdr:to>
    <xdr:sp>
      <xdr:nvSpPr>
        <xdr:cNvPr id="160" name="Line 168"/>
        <xdr:cNvSpPr>
          <a:spLocks/>
        </xdr:cNvSpPr>
      </xdr:nvSpPr>
      <xdr:spPr>
        <a:xfrm>
          <a:off x="6705600" y="913447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50</xdr:row>
      <xdr:rowOff>0</xdr:rowOff>
    </xdr:from>
    <xdr:to>
      <xdr:col>3</xdr:col>
      <xdr:colOff>590550</xdr:colOff>
      <xdr:row>52</xdr:row>
      <xdr:rowOff>19050</xdr:rowOff>
    </xdr:to>
    <xdr:sp>
      <xdr:nvSpPr>
        <xdr:cNvPr id="161" name="Line 169"/>
        <xdr:cNvSpPr>
          <a:spLocks/>
        </xdr:cNvSpPr>
      </xdr:nvSpPr>
      <xdr:spPr>
        <a:xfrm>
          <a:off x="2419350" y="87534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50</xdr:row>
      <xdr:rowOff>0</xdr:rowOff>
    </xdr:from>
    <xdr:to>
      <xdr:col>15</xdr:col>
      <xdr:colOff>19050</xdr:colOff>
      <xdr:row>52</xdr:row>
      <xdr:rowOff>9525</xdr:rowOff>
    </xdr:to>
    <xdr:sp>
      <xdr:nvSpPr>
        <xdr:cNvPr id="162" name="Line 170"/>
        <xdr:cNvSpPr>
          <a:spLocks/>
        </xdr:cNvSpPr>
      </xdr:nvSpPr>
      <xdr:spPr>
        <a:xfrm>
          <a:off x="9163050" y="87534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57</xdr:row>
      <xdr:rowOff>0</xdr:rowOff>
    </xdr:from>
    <xdr:to>
      <xdr:col>11</xdr:col>
      <xdr:colOff>19050</xdr:colOff>
      <xdr:row>57</xdr:row>
      <xdr:rowOff>0</xdr:rowOff>
    </xdr:to>
    <xdr:sp>
      <xdr:nvSpPr>
        <xdr:cNvPr id="163" name="Line 171"/>
        <xdr:cNvSpPr>
          <a:spLocks/>
        </xdr:cNvSpPr>
      </xdr:nvSpPr>
      <xdr:spPr>
        <a:xfrm>
          <a:off x="4876800" y="100869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50</xdr:row>
      <xdr:rowOff>76200</xdr:rowOff>
    </xdr:from>
    <xdr:to>
      <xdr:col>8</xdr:col>
      <xdr:colOff>152400</xdr:colOff>
      <xdr:row>56</xdr:row>
      <xdr:rowOff>104775</xdr:rowOff>
    </xdr:to>
    <xdr:sp>
      <xdr:nvSpPr>
        <xdr:cNvPr id="164" name="Line 172"/>
        <xdr:cNvSpPr>
          <a:spLocks/>
        </xdr:cNvSpPr>
      </xdr:nvSpPr>
      <xdr:spPr>
        <a:xfrm>
          <a:off x="5029200" y="882967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50</xdr:row>
      <xdr:rowOff>66675</xdr:rowOff>
    </xdr:from>
    <xdr:to>
      <xdr:col>10</xdr:col>
      <xdr:colOff>419100</xdr:colOff>
      <xdr:row>56</xdr:row>
      <xdr:rowOff>95250</xdr:rowOff>
    </xdr:to>
    <xdr:sp>
      <xdr:nvSpPr>
        <xdr:cNvPr id="165" name="Line 173"/>
        <xdr:cNvSpPr>
          <a:spLocks/>
        </xdr:cNvSpPr>
      </xdr:nvSpPr>
      <xdr:spPr>
        <a:xfrm>
          <a:off x="6515100" y="88201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50</xdr:row>
      <xdr:rowOff>76200</xdr:rowOff>
    </xdr:from>
    <xdr:to>
      <xdr:col>10</xdr:col>
      <xdr:colOff>419100</xdr:colOff>
      <xdr:row>50</xdr:row>
      <xdr:rowOff>76200</xdr:rowOff>
    </xdr:to>
    <xdr:sp>
      <xdr:nvSpPr>
        <xdr:cNvPr id="166" name="Line 174"/>
        <xdr:cNvSpPr>
          <a:spLocks/>
        </xdr:cNvSpPr>
      </xdr:nvSpPr>
      <xdr:spPr>
        <a:xfrm>
          <a:off x="5029200" y="88296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56</xdr:row>
      <xdr:rowOff>114300</xdr:rowOff>
    </xdr:from>
    <xdr:to>
      <xdr:col>10</xdr:col>
      <xdr:colOff>438150</xdr:colOff>
      <xdr:row>56</xdr:row>
      <xdr:rowOff>114300</xdr:rowOff>
    </xdr:to>
    <xdr:sp>
      <xdr:nvSpPr>
        <xdr:cNvPr id="167" name="Line 175"/>
        <xdr:cNvSpPr>
          <a:spLocks/>
        </xdr:cNvSpPr>
      </xdr:nvSpPr>
      <xdr:spPr>
        <a:xfrm>
          <a:off x="5048250" y="100107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50</xdr:row>
      <xdr:rowOff>104775</xdr:rowOff>
    </xdr:from>
    <xdr:to>
      <xdr:col>8</xdr:col>
      <xdr:colOff>304800</xdr:colOff>
      <xdr:row>50</xdr:row>
      <xdr:rowOff>152400</xdr:rowOff>
    </xdr:to>
    <xdr:sp>
      <xdr:nvSpPr>
        <xdr:cNvPr id="168" name="Oval 176"/>
        <xdr:cNvSpPr>
          <a:spLocks/>
        </xdr:cNvSpPr>
      </xdr:nvSpPr>
      <xdr:spPr>
        <a:xfrm>
          <a:off x="5105400" y="885825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50</xdr:row>
      <xdr:rowOff>95250</xdr:rowOff>
    </xdr:from>
    <xdr:to>
      <xdr:col>10</xdr:col>
      <xdr:colOff>381000</xdr:colOff>
      <xdr:row>50</xdr:row>
      <xdr:rowOff>142875</xdr:rowOff>
    </xdr:to>
    <xdr:sp>
      <xdr:nvSpPr>
        <xdr:cNvPr id="169" name="Oval 177"/>
        <xdr:cNvSpPr>
          <a:spLocks/>
        </xdr:cNvSpPr>
      </xdr:nvSpPr>
      <xdr:spPr>
        <a:xfrm>
          <a:off x="6400800" y="8848725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56</xdr:row>
      <xdr:rowOff>38100</xdr:rowOff>
    </xdr:from>
    <xdr:to>
      <xdr:col>8</xdr:col>
      <xdr:colOff>285750</xdr:colOff>
      <xdr:row>56</xdr:row>
      <xdr:rowOff>85725</xdr:rowOff>
    </xdr:to>
    <xdr:sp>
      <xdr:nvSpPr>
        <xdr:cNvPr id="170" name="Oval 178"/>
        <xdr:cNvSpPr>
          <a:spLocks/>
        </xdr:cNvSpPr>
      </xdr:nvSpPr>
      <xdr:spPr>
        <a:xfrm>
          <a:off x="5086350" y="9934575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56</xdr:row>
      <xdr:rowOff>47625</xdr:rowOff>
    </xdr:from>
    <xdr:to>
      <xdr:col>9</xdr:col>
      <xdr:colOff>95250</xdr:colOff>
      <xdr:row>56</xdr:row>
      <xdr:rowOff>95250</xdr:rowOff>
    </xdr:to>
    <xdr:sp>
      <xdr:nvSpPr>
        <xdr:cNvPr id="171" name="Oval 179"/>
        <xdr:cNvSpPr>
          <a:spLocks/>
        </xdr:cNvSpPr>
      </xdr:nvSpPr>
      <xdr:spPr>
        <a:xfrm>
          <a:off x="5505450" y="994410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56</xdr:row>
      <xdr:rowOff>47625</xdr:rowOff>
    </xdr:from>
    <xdr:to>
      <xdr:col>9</xdr:col>
      <xdr:colOff>590550</xdr:colOff>
      <xdr:row>56</xdr:row>
      <xdr:rowOff>95250</xdr:rowOff>
    </xdr:to>
    <xdr:sp>
      <xdr:nvSpPr>
        <xdr:cNvPr id="172" name="Oval 180"/>
        <xdr:cNvSpPr>
          <a:spLocks/>
        </xdr:cNvSpPr>
      </xdr:nvSpPr>
      <xdr:spPr>
        <a:xfrm>
          <a:off x="6000750" y="994410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56</xdr:row>
      <xdr:rowOff>47625</xdr:rowOff>
    </xdr:from>
    <xdr:to>
      <xdr:col>10</xdr:col>
      <xdr:colOff>381000</xdr:colOff>
      <xdr:row>56</xdr:row>
      <xdr:rowOff>95250</xdr:rowOff>
    </xdr:to>
    <xdr:sp>
      <xdr:nvSpPr>
        <xdr:cNvPr id="173" name="Oval 181"/>
        <xdr:cNvSpPr>
          <a:spLocks/>
        </xdr:cNvSpPr>
      </xdr:nvSpPr>
      <xdr:spPr>
        <a:xfrm>
          <a:off x="6400800" y="994410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50</xdr:row>
      <xdr:rowOff>47625</xdr:rowOff>
    </xdr:from>
    <xdr:to>
      <xdr:col>4</xdr:col>
      <xdr:colOff>152400</xdr:colOff>
      <xdr:row>50</xdr:row>
      <xdr:rowOff>95250</xdr:rowOff>
    </xdr:to>
    <xdr:sp>
      <xdr:nvSpPr>
        <xdr:cNvPr id="174" name="Oval 182"/>
        <xdr:cNvSpPr>
          <a:spLocks/>
        </xdr:cNvSpPr>
      </xdr:nvSpPr>
      <xdr:spPr>
        <a:xfrm>
          <a:off x="2514600" y="880110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50</xdr:row>
      <xdr:rowOff>57150</xdr:rowOff>
    </xdr:from>
    <xdr:to>
      <xdr:col>6</xdr:col>
      <xdr:colOff>19050</xdr:colOff>
      <xdr:row>50</xdr:row>
      <xdr:rowOff>104775</xdr:rowOff>
    </xdr:to>
    <xdr:sp>
      <xdr:nvSpPr>
        <xdr:cNvPr id="175" name="Oval 183"/>
        <xdr:cNvSpPr>
          <a:spLocks/>
        </xdr:cNvSpPr>
      </xdr:nvSpPr>
      <xdr:spPr>
        <a:xfrm>
          <a:off x="3600450" y="8810625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50</xdr:row>
      <xdr:rowOff>57150</xdr:rowOff>
    </xdr:from>
    <xdr:to>
      <xdr:col>7</xdr:col>
      <xdr:colOff>590550</xdr:colOff>
      <xdr:row>50</xdr:row>
      <xdr:rowOff>104775</xdr:rowOff>
    </xdr:to>
    <xdr:sp>
      <xdr:nvSpPr>
        <xdr:cNvPr id="176" name="Oval 184"/>
        <xdr:cNvSpPr>
          <a:spLocks/>
        </xdr:cNvSpPr>
      </xdr:nvSpPr>
      <xdr:spPr>
        <a:xfrm>
          <a:off x="4781550" y="8810625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57150</xdr:rowOff>
    </xdr:from>
    <xdr:to>
      <xdr:col>11</xdr:col>
      <xdr:colOff>76200</xdr:colOff>
      <xdr:row>50</xdr:row>
      <xdr:rowOff>104775</xdr:rowOff>
    </xdr:to>
    <xdr:sp>
      <xdr:nvSpPr>
        <xdr:cNvPr id="177" name="Oval 185"/>
        <xdr:cNvSpPr>
          <a:spLocks/>
        </xdr:cNvSpPr>
      </xdr:nvSpPr>
      <xdr:spPr>
        <a:xfrm>
          <a:off x="6705600" y="8810625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50</xdr:row>
      <xdr:rowOff>66675</xdr:rowOff>
    </xdr:from>
    <xdr:to>
      <xdr:col>13</xdr:col>
      <xdr:colOff>114300</xdr:colOff>
      <xdr:row>50</xdr:row>
      <xdr:rowOff>114300</xdr:rowOff>
    </xdr:to>
    <xdr:sp>
      <xdr:nvSpPr>
        <xdr:cNvPr id="178" name="Oval 186"/>
        <xdr:cNvSpPr>
          <a:spLocks/>
        </xdr:cNvSpPr>
      </xdr:nvSpPr>
      <xdr:spPr>
        <a:xfrm>
          <a:off x="7962900" y="882015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50</xdr:row>
      <xdr:rowOff>47625</xdr:rowOff>
    </xdr:from>
    <xdr:to>
      <xdr:col>14</xdr:col>
      <xdr:colOff>552450</xdr:colOff>
      <xdr:row>50</xdr:row>
      <xdr:rowOff>47625</xdr:rowOff>
    </xdr:to>
    <xdr:sp>
      <xdr:nvSpPr>
        <xdr:cNvPr id="179" name="Line 187"/>
        <xdr:cNvSpPr>
          <a:spLocks/>
        </xdr:cNvSpPr>
      </xdr:nvSpPr>
      <xdr:spPr>
        <a:xfrm>
          <a:off x="2514600" y="8801100"/>
          <a:ext cx="657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50</xdr:row>
      <xdr:rowOff>66675</xdr:rowOff>
    </xdr:from>
    <xdr:to>
      <xdr:col>14</xdr:col>
      <xdr:colOff>533400</xdr:colOff>
      <xdr:row>50</xdr:row>
      <xdr:rowOff>114300</xdr:rowOff>
    </xdr:to>
    <xdr:sp>
      <xdr:nvSpPr>
        <xdr:cNvPr id="180" name="Oval 188"/>
        <xdr:cNvSpPr>
          <a:spLocks/>
        </xdr:cNvSpPr>
      </xdr:nvSpPr>
      <xdr:spPr>
        <a:xfrm>
          <a:off x="8991600" y="882015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57</xdr:row>
      <xdr:rowOff>95250</xdr:rowOff>
    </xdr:from>
    <xdr:to>
      <xdr:col>11</xdr:col>
      <xdr:colOff>38100</xdr:colOff>
      <xdr:row>57</xdr:row>
      <xdr:rowOff>95250</xdr:rowOff>
    </xdr:to>
    <xdr:sp>
      <xdr:nvSpPr>
        <xdr:cNvPr id="181" name="Line 189"/>
        <xdr:cNvSpPr>
          <a:spLocks/>
        </xdr:cNvSpPr>
      </xdr:nvSpPr>
      <xdr:spPr>
        <a:xfrm>
          <a:off x="6096000" y="10182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57</xdr:row>
      <xdr:rowOff>104775</xdr:rowOff>
    </xdr:from>
    <xdr:to>
      <xdr:col>8</xdr:col>
      <xdr:colOff>571500</xdr:colOff>
      <xdr:row>57</xdr:row>
      <xdr:rowOff>104775</xdr:rowOff>
    </xdr:to>
    <xdr:sp>
      <xdr:nvSpPr>
        <xdr:cNvPr id="182" name="Line 190"/>
        <xdr:cNvSpPr>
          <a:spLocks/>
        </xdr:cNvSpPr>
      </xdr:nvSpPr>
      <xdr:spPr>
        <a:xfrm flipH="1">
          <a:off x="4876800" y="10191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48</xdr:row>
      <xdr:rowOff>133350</xdr:rowOff>
    </xdr:from>
    <xdr:to>
      <xdr:col>4</xdr:col>
      <xdr:colOff>457200</xdr:colOff>
      <xdr:row>50</xdr:row>
      <xdr:rowOff>57150</xdr:rowOff>
    </xdr:to>
    <xdr:sp>
      <xdr:nvSpPr>
        <xdr:cNvPr id="183" name="Line 191"/>
        <xdr:cNvSpPr>
          <a:spLocks/>
        </xdr:cNvSpPr>
      </xdr:nvSpPr>
      <xdr:spPr>
        <a:xfrm>
          <a:off x="2895600" y="8505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48</xdr:row>
      <xdr:rowOff>123825</xdr:rowOff>
    </xdr:from>
    <xdr:to>
      <xdr:col>5</xdr:col>
      <xdr:colOff>19050</xdr:colOff>
      <xdr:row>48</xdr:row>
      <xdr:rowOff>123825</xdr:rowOff>
    </xdr:to>
    <xdr:sp>
      <xdr:nvSpPr>
        <xdr:cNvPr id="184" name="Line 192"/>
        <xdr:cNvSpPr>
          <a:spLocks/>
        </xdr:cNvSpPr>
      </xdr:nvSpPr>
      <xdr:spPr>
        <a:xfrm>
          <a:off x="2895600" y="84963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50</xdr:row>
      <xdr:rowOff>85725</xdr:rowOff>
    </xdr:from>
    <xdr:to>
      <xdr:col>5</xdr:col>
      <xdr:colOff>571500</xdr:colOff>
      <xdr:row>51</xdr:row>
      <xdr:rowOff>57150</xdr:rowOff>
    </xdr:to>
    <xdr:sp>
      <xdr:nvSpPr>
        <xdr:cNvPr id="185" name="Line 193"/>
        <xdr:cNvSpPr>
          <a:spLocks/>
        </xdr:cNvSpPr>
      </xdr:nvSpPr>
      <xdr:spPr>
        <a:xfrm flipV="1">
          <a:off x="3619500" y="883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51</xdr:row>
      <xdr:rowOff>57150</xdr:rowOff>
    </xdr:from>
    <xdr:to>
      <xdr:col>6</xdr:col>
      <xdr:colOff>361950</xdr:colOff>
      <xdr:row>51</xdr:row>
      <xdr:rowOff>57150</xdr:rowOff>
    </xdr:to>
    <xdr:sp>
      <xdr:nvSpPr>
        <xdr:cNvPr id="186" name="Line 194"/>
        <xdr:cNvSpPr>
          <a:spLocks/>
        </xdr:cNvSpPr>
      </xdr:nvSpPr>
      <xdr:spPr>
        <a:xfrm flipH="1">
          <a:off x="3619500" y="90011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52</xdr:row>
      <xdr:rowOff>104775</xdr:rowOff>
    </xdr:from>
    <xdr:to>
      <xdr:col>11</xdr:col>
      <xdr:colOff>95250</xdr:colOff>
      <xdr:row>52</xdr:row>
      <xdr:rowOff>104775</xdr:rowOff>
    </xdr:to>
    <xdr:sp>
      <xdr:nvSpPr>
        <xdr:cNvPr id="187" name="Line 195"/>
        <xdr:cNvSpPr>
          <a:spLocks/>
        </xdr:cNvSpPr>
      </xdr:nvSpPr>
      <xdr:spPr>
        <a:xfrm flipH="1">
          <a:off x="5734050" y="92392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50</xdr:row>
      <xdr:rowOff>133350</xdr:rowOff>
    </xdr:from>
    <xdr:to>
      <xdr:col>9</xdr:col>
      <xdr:colOff>266700</xdr:colOff>
      <xdr:row>52</xdr:row>
      <xdr:rowOff>114300</xdr:rowOff>
    </xdr:to>
    <xdr:sp>
      <xdr:nvSpPr>
        <xdr:cNvPr id="188" name="Line 196"/>
        <xdr:cNvSpPr>
          <a:spLocks/>
        </xdr:cNvSpPr>
      </xdr:nvSpPr>
      <xdr:spPr>
        <a:xfrm flipH="1" flipV="1">
          <a:off x="5143500" y="8886825"/>
          <a:ext cx="6096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50</xdr:row>
      <xdr:rowOff>142875</xdr:rowOff>
    </xdr:from>
    <xdr:to>
      <xdr:col>10</xdr:col>
      <xdr:colOff>304800</xdr:colOff>
      <xdr:row>52</xdr:row>
      <xdr:rowOff>104775</xdr:rowOff>
    </xdr:to>
    <xdr:sp>
      <xdr:nvSpPr>
        <xdr:cNvPr id="189" name="Line 197"/>
        <xdr:cNvSpPr>
          <a:spLocks/>
        </xdr:cNvSpPr>
      </xdr:nvSpPr>
      <xdr:spPr>
        <a:xfrm flipV="1">
          <a:off x="5791200" y="8896350"/>
          <a:ext cx="609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55</xdr:row>
      <xdr:rowOff>104775</xdr:rowOff>
    </xdr:from>
    <xdr:to>
      <xdr:col>11</xdr:col>
      <xdr:colOff>133350</xdr:colOff>
      <xdr:row>55</xdr:row>
      <xdr:rowOff>104775</xdr:rowOff>
    </xdr:to>
    <xdr:sp>
      <xdr:nvSpPr>
        <xdr:cNvPr id="190" name="Line 198"/>
        <xdr:cNvSpPr>
          <a:spLocks/>
        </xdr:cNvSpPr>
      </xdr:nvSpPr>
      <xdr:spPr>
        <a:xfrm flipH="1">
          <a:off x="5314950" y="98107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55</xdr:row>
      <xdr:rowOff>104775</xdr:rowOff>
    </xdr:from>
    <xdr:to>
      <xdr:col>8</xdr:col>
      <xdr:colOff>457200</xdr:colOff>
      <xdr:row>56</xdr:row>
      <xdr:rowOff>38100</xdr:rowOff>
    </xdr:to>
    <xdr:sp>
      <xdr:nvSpPr>
        <xdr:cNvPr id="191" name="Line 199"/>
        <xdr:cNvSpPr>
          <a:spLocks/>
        </xdr:cNvSpPr>
      </xdr:nvSpPr>
      <xdr:spPr>
        <a:xfrm flipH="1">
          <a:off x="5181600" y="9810750"/>
          <a:ext cx="1524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104775</xdr:rowOff>
    </xdr:from>
    <xdr:to>
      <xdr:col>9</xdr:col>
      <xdr:colOff>76200</xdr:colOff>
      <xdr:row>56</xdr:row>
      <xdr:rowOff>57150</xdr:rowOff>
    </xdr:to>
    <xdr:sp>
      <xdr:nvSpPr>
        <xdr:cNvPr id="192" name="Line 200"/>
        <xdr:cNvSpPr>
          <a:spLocks/>
        </xdr:cNvSpPr>
      </xdr:nvSpPr>
      <xdr:spPr>
        <a:xfrm>
          <a:off x="5486400" y="9810750"/>
          <a:ext cx="762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55</xdr:row>
      <xdr:rowOff>114300</xdr:rowOff>
    </xdr:from>
    <xdr:to>
      <xdr:col>9</xdr:col>
      <xdr:colOff>552450</xdr:colOff>
      <xdr:row>56</xdr:row>
      <xdr:rowOff>57150</xdr:rowOff>
    </xdr:to>
    <xdr:sp>
      <xdr:nvSpPr>
        <xdr:cNvPr id="193" name="Line 201"/>
        <xdr:cNvSpPr>
          <a:spLocks/>
        </xdr:cNvSpPr>
      </xdr:nvSpPr>
      <xdr:spPr>
        <a:xfrm>
          <a:off x="6038850" y="9820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55</xdr:row>
      <xdr:rowOff>104775</xdr:rowOff>
    </xdr:from>
    <xdr:to>
      <xdr:col>10</xdr:col>
      <xdr:colOff>342900</xdr:colOff>
      <xdr:row>56</xdr:row>
      <xdr:rowOff>66675</xdr:rowOff>
    </xdr:to>
    <xdr:sp>
      <xdr:nvSpPr>
        <xdr:cNvPr id="194" name="Line 202"/>
        <xdr:cNvSpPr>
          <a:spLocks/>
        </xdr:cNvSpPr>
      </xdr:nvSpPr>
      <xdr:spPr>
        <a:xfrm>
          <a:off x="6381750" y="9810750"/>
          <a:ext cx="571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76200</xdr:rowOff>
    </xdr:from>
    <xdr:to>
      <xdr:col>16</xdr:col>
      <xdr:colOff>0</xdr:colOff>
      <xdr:row>42</xdr:row>
      <xdr:rowOff>133350</xdr:rowOff>
    </xdr:to>
    <xdr:sp>
      <xdr:nvSpPr>
        <xdr:cNvPr id="195" name="Line 203"/>
        <xdr:cNvSpPr>
          <a:spLocks/>
        </xdr:cNvSpPr>
      </xdr:nvSpPr>
      <xdr:spPr>
        <a:xfrm>
          <a:off x="9753600" y="7115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304800</xdr:colOff>
      <xdr:row>41</xdr:row>
      <xdr:rowOff>85725</xdr:rowOff>
    </xdr:from>
    <xdr:to>
      <xdr:col>15</xdr:col>
      <xdr:colOff>304800</xdr:colOff>
      <xdr:row>42</xdr:row>
      <xdr:rowOff>142875</xdr:rowOff>
    </xdr:to>
    <xdr:sp>
      <xdr:nvSpPr>
        <xdr:cNvPr id="196" name="Line 204"/>
        <xdr:cNvSpPr>
          <a:spLocks/>
        </xdr:cNvSpPr>
      </xdr:nvSpPr>
      <xdr:spPr>
        <a:xfrm>
          <a:off x="9448800" y="7124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85725</xdr:rowOff>
    </xdr:from>
    <xdr:to>
      <xdr:col>15</xdr:col>
      <xdr:colOff>0</xdr:colOff>
      <xdr:row>42</xdr:row>
      <xdr:rowOff>133350</xdr:rowOff>
    </xdr:to>
    <xdr:sp>
      <xdr:nvSpPr>
        <xdr:cNvPr id="197" name="Line 205"/>
        <xdr:cNvSpPr>
          <a:spLocks/>
        </xdr:cNvSpPr>
      </xdr:nvSpPr>
      <xdr:spPr>
        <a:xfrm>
          <a:off x="9144000" y="7124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41</xdr:row>
      <xdr:rowOff>85725</xdr:rowOff>
    </xdr:from>
    <xdr:to>
      <xdr:col>14</xdr:col>
      <xdr:colOff>323850</xdr:colOff>
      <xdr:row>42</xdr:row>
      <xdr:rowOff>133350</xdr:rowOff>
    </xdr:to>
    <xdr:sp>
      <xdr:nvSpPr>
        <xdr:cNvPr id="198" name="Line 206"/>
        <xdr:cNvSpPr>
          <a:spLocks/>
        </xdr:cNvSpPr>
      </xdr:nvSpPr>
      <xdr:spPr>
        <a:xfrm>
          <a:off x="8858250" y="7124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31</xdr:row>
      <xdr:rowOff>47625</xdr:rowOff>
    </xdr:from>
    <xdr:to>
      <xdr:col>1</xdr:col>
      <xdr:colOff>95250</xdr:colOff>
      <xdr:row>32</xdr:row>
      <xdr:rowOff>142875</xdr:rowOff>
    </xdr:to>
    <xdr:sp>
      <xdr:nvSpPr>
        <xdr:cNvPr id="199" name="Line 207"/>
        <xdr:cNvSpPr>
          <a:spLocks/>
        </xdr:cNvSpPr>
      </xdr:nvSpPr>
      <xdr:spPr>
        <a:xfrm>
          <a:off x="704850" y="51816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31</xdr:row>
      <xdr:rowOff>57150</xdr:rowOff>
    </xdr:from>
    <xdr:to>
      <xdr:col>1</xdr:col>
      <xdr:colOff>361950</xdr:colOff>
      <xdr:row>32</xdr:row>
      <xdr:rowOff>152400</xdr:rowOff>
    </xdr:to>
    <xdr:sp>
      <xdr:nvSpPr>
        <xdr:cNvPr id="200" name="Line 208"/>
        <xdr:cNvSpPr>
          <a:spLocks/>
        </xdr:cNvSpPr>
      </xdr:nvSpPr>
      <xdr:spPr>
        <a:xfrm>
          <a:off x="971550" y="5191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66675</xdr:rowOff>
    </xdr:from>
    <xdr:to>
      <xdr:col>2</xdr:col>
      <xdr:colOff>19050</xdr:colOff>
      <xdr:row>32</xdr:row>
      <xdr:rowOff>161925</xdr:rowOff>
    </xdr:to>
    <xdr:sp>
      <xdr:nvSpPr>
        <xdr:cNvPr id="201" name="Line 209"/>
        <xdr:cNvSpPr>
          <a:spLocks/>
        </xdr:cNvSpPr>
      </xdr:nvSpPr>
      <xdr:spPr>
        <a:xfrm>
          <a:off x="1238250" y="52006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31</xdr:row>
      <xdr:rowOff>57150</xdr:rowOff>
    </xdr:from>
    <xdr:to>
      <xdr:col>2</xdr:col>
      <xdr:colOff>304800</xdr:colOff>
      <xdr:row>32</xdr:row>
      <xdr:rowOff>152400</xdr:rowOff>
    </xdr:to>
    <xdr:sp>
      <xdr:nvSpPr>
        <xdr:cNvPr id="202" name="Line 210"/>
        <xdr:cNvSpPr>
          <a:spLocks/>
        </xdr:cNvSpPr>
      </xdr:nvSpPr>
      <xdr:spPr>
        <a:xfrm>
          <a:off x="1524000" y="5191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57150</xdr:rowOff>
    </xdr:from>
    <xdr:to>
      <xdr:col>3</xdr:col>
      <xdr:colOff>0</xdr:colOff>
      <xdr:row>32</xdr:row>
      <xdr:rowOff>152400</xdr:rowOff>
    </xdr:to>
    <xdr:sp>
      <xdr:nvSpPr>
        <xdr:cNvPr id="203" name="Line 211"/>
        <xdr:cNvSpPr>
          <a:spLocks/>
        </xdr:cNvSpPr>
      </xdr:nvSpPr>
      <xdr:spPr>
        <a:xfrm>
          <a:off x="1828800" y="5191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31</xdr:row>
      <xdr:rowOff>47625</xdr:rowOff>
    </xdr:from>
    <xdr:to>
      <xdr:col>3</xdr:col>
      <xdr:colOff>304800</xdr:colOff>
      <xdr:row>32</xdr:row>
      <xdr:rowOff>142875</xdr:rowOff>
    </xdr:to>
    <xdr:sp>
      <xdr:nvSpPr>
        <xdr:cNvPr id="204" name="Line 212"/>
        <xdr:cNvSpPr>
          <a:spLocks/>
        </xdr:cNvSpPr>
      </xdr:nvSpPr>
      <xdr:spPr>
        <a:xfrm>
          <a:off x="2133600" y="51816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31</xdr:row>
      <xdr:rowOff>28575</xdr:rowOff>
    </xdr:from>
    <xdr:to>
      <xdr:col>3</xdr:col>
      <xdr:colOff>590550</xdr:colOff>
      <xdr:row>32</xdr:row>
      <xdr:rowOff>123825</xdr:rowOff>
    </xdr:to>
    <xdr:sp>
      <xdr:nvSpPr>
        <xdr:cNvPr id="205" name="Line 213"/>
        <xdr:cNvSpPr>
          <a:spLocks/>
        </xdr:cNvSpPr>
      </xdr:nvSpPr>
      <xdr:spPr>
        <a:xfrm>
          <a:off x="2419350" y="51625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31</xdr:row>
      <xdr:rowOff>133350</xdr:rowOff>
    </xdr:from>
    <xdr:to>
      <xdr:col>4</xdr:col>
      <xdr:colOff>285750</xdr:colOff>
      <xdr:row>33</xdr:row>
      <xdr:rowOff>38100</xdr:rowOff>
    </xdr:to>
    <xdr:sp>
      <xdr:nvSpPr>
        <xdr:cNvPr id="206" name="Line 214"/>
        <xdr:cNvSpPr>
          <a:spLocks/>
        </xdr:cNvSpPr>
      </xdr:nvSpPr>
      <xdr:spPr>
        <a:xfrm>
          <a:off x="2724150" y="52673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28575</xdr:rowOff>
    </xdr:from>
    <xdr:to>
      <xdr:col>5</xdr:col>
      <xdr:colOff>0</xdr:colOff>
      <xdr:row>33</xdr:row>
      <xdr:rowOff>123825</xdr:rowOff>
    </xdr:to>
    <xdr:sp>
      <xdr:nvSpPr>
        <xdr:cNvPr id="207" name="Line 215"/>
        <xdr:cNvSpPr>
          <a:spLocks/>
        </xdr:cNvSpPr>
      </xdr:nvSpPr>
      <xdr:spPr>
        <a:xfrm>
          <a:off x="3048000" y="53530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32</xdr:row>
      <xdr:rowOff>123825</xdr:rowOff>
    </xdr:from>
    <xdr:to>
      <xdr:col>5</xdr:col>
      <xdr:colOff>285750</xdr:colOff>
      <xdr:row>34</xdr:row>
      <xdr:rowOff>28575</xdr:rowOff>
    </xdr:to>
    <xdr:sp>
      <xdr:nvSpPr>
        <xdr:cNvPr id="208" name="Line 216"/>
        <xdr:cNvSpPr>
          <a:spLocks/>
        </xdr:cNvSpPr>
      </xdr:nvSpPr>
      <xdr:spPr>
        <a:xfrm>
          <a:off x="3333750" y="54483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33</xdr:row>
      <xdr:rowOff>38100</xdr:rowOff>
    </xdr:from>
    <xdr:to>
      <xdr:col>5</xdr:col>
      <xdr:colOff>590550</xdr:colOff>
      <xdr:row>34</xdr:row>
      <xdr:rowOff>133350</xdr:rowOff>
    </xdr:to>
    <xdr:sp>
      <xdr:nvSpPr>
        <xdr:cNvPr id="209" name="Line 217"/>
        <xdr:cNvSpPr>
          <a:spLocks/>
        </xdr:cNvSpPr>
      </xdr:nvSpPr>
      <xdr:spPr>
        <a:xfrm>
          <a:off x="3638550" y="55530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33</xdr:row>
      <xdr:rowOff>133350</xdr:rowOff>
    </xdr:from>
    <xdr:to>
      <xdr:col>6</xdr:col>
      <xdr:colOff>285750</xdr:colOff>
      <xdr:row>35</xdr:row>
      <xdr:rowOff>38100</xdr:rowOff>
    </xdr:to>
    <xdr:sp>
      <xdr:nvSpPr>
        <xdr:cNvPr id="210" name="Line 218"/>
        <xdr:cNvSpPr>
          <a:spLocks/>
        </xdr:cNvSpPr>
      </xdr:nvSpPr>
      <xdr:spPr>
        <a:xfrm>
          <a:off x="3943350" y="56483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34</xdr:row>
      <xdr:rowOff>133350</xdr:rowOff>
    </xdr:from>
    <xdr:to>
      <xdr:col>7</xdr:col>
      <xdr:colOff>285750</xdr:colOff>
      <xdr:row>36</xdr:row>
      <xdr:rowOff>38100</xdr:rowOff>
    </xdr:to>
    <xdr:sp>
      <xdr:nvSpPr>
        <xdr:cNvPr id="211" name="Line 219"/>
        <xdr:cNvSpPr>
          <a:spLocks/>
        </xdr:cNvSpPr>
      </xdr:nvSpPr>
      <xdr:spPr>
        <a:xfrm>
          <a:off x="4552950" y="58388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35</xdr:row>
      <xdr:rowOff>133350</xdr:rowOff>
    </xdr:from>
    <xdr:to>
      <xdr:col>8</xdr:col>
      <xdr:colOff>285750</xdr:colOff>
      <xdr:row>37</xdr:row>
      <xdr:rowOff>38100</xdr:rowOff>
    </xdr:to>
    <xdr:sp>
      <xdr:nvSpPr>
        <xdr:cNvPr id="212" name="Line 220"/>
        <xdr:cNvSpPr>
          <a:spLocks/>
        </xdr:cNvSpPr>
      </xdr:nvSpPr>
      <xdr:spPr>
        <a:xfrm>
          <a:off x="5162550" y="60293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36</xdr:row>
      <xdr:rowOff>133350</xdr:rowOff>
    </xdr:from>
    <xdr:to>
      <xdr:col>9</xdr:col>
      <xdr:colOff>285750</xdr:colOff>
      <xdr:row>38</xdr:row>
      <xdr:rowOff>38100</xdr:rowOff>
    </xdr:to>
    <xdr:sp>
      <xdr:nvSpPr>
        <xdr:cNvPr id="213" name="Line 221"/>
        <xdr:cNvSpPr>
          <a:spLocks/>
        </xdr:cNvSpPr>
      </xdr:nvSpPr>
      <xdr:spPr>
        <a:xfrm>
          <a:off x="5772150" y="62198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37</xdr:row>
      <xdr:rowOff>133350</xdr:rowOff>
    </xdr:from>
    <xdr:to>
      <xdr:col>10</xdr:col>
      <xdr:colOff>285750</xdr:colOff>
      <xdr:row>39</xdr:row>
      <xdr:rowOff>38100</xdr:rowOff>
    </xdr:to>
    <xdr:sp>
      <xdr:nvSpPr>
        <xdr:cNvPr id="214" name="Line 222"/>
        <xdr:cNvSpPr>
          <a:spLocks/>
        </xdr:cNvSpPr>
      </xdr:nvSpPr>
      <xdr:spPr>
        <a:xfrm>
          <a:off x="6381750" y="64103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38</xdr:row>
      <xdr:rowOff>123825</xdr:rowOff>
    </xdr:from>
    <xdr:to>
      <xdr:col>11</xdr:col>
      <xdr:colOff>285750</xdr:colOff>
      <xdr:row>40</xdr:row>
      <xdr:rowOff>28575</xdr:rowOff>
    </xdr:to>
    <xdr:sp>
      <xdr:nvSpPr>
        <xdr:cNvPr id="215" name="Line 223"/>
        <xdr:cNvSpPr>
          <a:spLocks/>
        </xdr:cNvSpPr>
      </xdr:nvSpPr>
      <xdr:spPr>
        <a:xfrm>
          <a:off x="6991350" y="65913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590550</xdr:colOff>
      <xdr:row>39</xdr:row>
      <xdr:rowOff>28575</xdr:rowOff>
    </xdr:from>
    <xdr:to>
      <xdr:col>11</xdr:col>
      <xdr:colOff>590550</xdr:colOff>
      <xdr:row>40</xdr:row>
      <xdr:rowOff>123825</xdr:rowOff>
    </xdr:to>
    <xdr:sp>
      <xdr:nvSpPr>
        <xdr:cNvPr id="216" name="Line 224"/>
        <xdr:cNvSpPr>
          <a:spLocks/>
        </xdr:cNvSpPr>
      </xdr:nvSpPr>
      <xdr:spPr>
        <a:xfrm>
          <a:off x="7296150" y="66865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39</xdr:row>
      <xdr:rowOff>123825</xdr:rowOff>
    </xdr:from>
    <xdr:to>
      <xdr:col>12</xdr:col>
      <xdr:colOff>285750</xdr:colOff>
      <xdr:row>41</xdr:row>
      <xdr:rowOff>28575</xdr:rowOff>
    </xdr:to>
    <xdr:sp>
      <xdr:nvSpPr>
        <xdr:cNvPr id="217" name="Line 225"/>
        <xdr:cNvSpPr>
          <a:spLocks/>
        </xdr:cNvSpPr>
      </xdr:nvSpPr>
      <xdr:spPr>
        <a:xfrm>
          <a:off x="7600950" y="67818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590550</xdr:colOff>
      <xdr:row>40</xdr:row>
      <xdr:rowOff>38100</xdr:rowOff>
    </xdr:from>
    <xdr:to>
      <xdr:col>12</xdr:col>
      <xdr:colOff>590550</xdr:colOff>
      <xdr:row>41</xdr:row>
      <xdr:rowOff>133350</xdr:rowOff>
    </xdr:to>
    <xdr:sp>
      <xdr:nvSpPr>
        <xdr:cNvPr id="218" name="Line 226"/>
        <xdr:cNvSpPr>
          <a:spLocks/>
        </xdr:cNvSpPr>
      </xdr:nvSpPr>
      <xdr:spPr>
        <a:xfrm>
          <a:off x="7905750" y="68865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40</xdr:row>
      <xdr:rowOff>123825</xdr:rowOff>
    </xdr:from>
    <xdr:to>
      <xdr:col>13</xdr:col>
      <xdr:colOff>285750</xdr:colOff>
      <xdr:row>42</xdr:row>
      <xdr:rowOff>28575</xdr:rowOff>
    </xdr:to>
    <xdr:sp>
      <xdr:nvSpPr>
        <xdr:cNvPr id="219" name="Line 227"/>
        <xdr:cNvSpPr>
          <a:spLocks/>
        </xdr:cNvSpPr>
      </xdr:nvSpPr>
      <xdr:spPr>
        <a:xfrm>
          <a:off x="8210550" y="69723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590550</xdr:colOff>
      <xdr:row>41</xdr:row>
      <xdr:rowOff>38100</xdr:rowOff>
    </xdr:from>
    <xdr:to>
      <xdr:col>13</xdr:col>
      <xdr:colOff>590550</xdr:colOff>
      <xdr:row>42</xdr:row>
      <xdr:rowOff>133350</xdr:rowOff>
    </xdr:to>
    <xdr:sp>
      <xdr:nvSpPr>
        <xdr:cNvPr id="220" name="Line 228"/>
        <xdr:cNvSpPr>
          <a:spLocks/>
        </xdr:cNvSpPr>
      </xdr:nvSpPr>
      <xdr:spPr>
        <a:xfrm>
          <a:off x="8515350" y="70770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31</xdr:row>
      <xdr:rowOff>133350</xdr:rowOff>
    </xdr:from>
    <xdr:to>
      <xdr:col>3</xdr:col>
      <xdr:colOff>552450</xdr:colOff>
      <xdr:row>31</xdr:row>
      <xdr:rowOff>133350</xdr:rowOff>
    </xdr:to>
    <xdr:sp>
      <xdr:nvSpPr>
        <xdr:cNvPr id="221" name="Line 229"/>
        <xdr:cNvSpPr>
          <a:spLocks/>
        </xdr:cNvSpPr>
      </xdr:nvSpPr>
      <xdr:spPr>
        <a:xfrm>
          <a:off x="723900" y="52673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31</xdr:row>
      <xdr:rowOff>142875</xdr:rowOff>
    </xdr:from>
    <xdr:to>
      <xdr:col>14</xdr:col>
      <xdr:colOff>0</xdr:colOff>
      <xdr:row>41</xdr:row>
      <xdr:rowOff>152400</xdr:rowOff>
    </xdr:to>
    <xdr:sp>
      <xdr:nvSpPr>
        <xdr:cNvPr id="222" name="Line 230"/>
        <xdr:cNvSpPr>
          <a:spLocks/>
        </xdr:cNvSpPr>
      </xdr:nvSpPr>
      <xdr:spPr>
        <a:xfrm>
          <a:off x="2419350" y="5276850"/>
          <a:ext cx="6115050" cy="1914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552450</xdr:colOff>
      <xdr:row>41</xdr:row>
      <xdr:rowOff>133350</xdr:rowOff>
    </xdr:from>
    <xdr:to>
      <xdr:col>16</xdr:col>
      <xdr:colOff>57150</xdr:colOff>
      <xdr:row>41</xdr:row>
      <xdr:rowOff>133350</xdr:rowOff>
    </xdr:to>
    <xdr:sp>
      <xdr:nvSpPr>
        <xdr:cNvPr id="223" name="Line 231"/>
        <xdr:cNvSpPr>
          <a:spLocks/>
        </xdr:cNvSpPr>
      </xdr:nvSpPr>
      <xdr:spPr>
        <a:xfrm>
          <a:off x="8477250" y="71723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95250</xdr:rowOff>
    </xdr:from>
    <xdr:to>
      <xdr:col>14</xdr:col>
      <xdr:colOff>0</xdr:colOff>
      <xdr:row>30</xdr:row>
      <xdr:rowOff>95250</xdr:rowOff>
    </xdr:to>
    <xdr:sp>
      <xdr:nvSpPr>
        <xdr:cNvPr id="224" name="Line 232"/>
        <xdr:cNvSpPr>
          <a:spLocks/>
        </xdr:cNvSpPr>
      </xdr:nvSpPr>
      <xdr:spPr>
        <a:xfrm>
          <a:off x="6724650" y="50387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30</xdr:row>
      <xdr:rowOff>95250</xdr:rowOff>
    </xdr:from>
    <xdr:to>
      <xdr:col>9</xdr:col>
      <xdr:colOff>57150</xdr:colOff>
      <xdr:row>30</xdr:row>
      <xdr:rowOff>95250</xdr:rowOff>
    </xdr:to>
    <xdr:sp>
      <xdr:nvSpPr>
        <xdr:cNvPr id="225" name="Line 233"/>
        <xdr:cNvSpPr>
          <a:spLocks/>
        </xdr:cNvSpPr>
      </xdr:nvSpPr>
      <xdr:spPr>
        <a:xfrm flipH="1">
          <a:off x="3028950" y="50387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30</xdr:row>
      <xdr:rowOff>104775</xdr:rowOff>
    </xdr:from>
    <xdr:to>
      <xdr:col>4</xdr:col>
      <xdr:colOff>590550</xdr:colOff>
      <xdr:row>30</xdr:row>
      <xdr:rowOff>104775</xdr:rowOff>
    </xdr:to>
    <xdr:sp>
      <xdr:nvSpPr>
        <xdr:cNvPr id="226" name="Line 234"/>
        <xdr:cNvSpPr>
          <a:spLocks/>
        </xdr:cNvSpPr>
      </xdr:nvSpPr>
      <xdr:spPr>
        <a:xfrm>
          <a:off x="2286000" y="50482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30</xdr:row>
      <xdr:rowOff>104775</xdr:rowOff>
    </xdr:from>
    <xdr:to>
      <xdr:col>2</xdr:col>
      <xdr:colOff>266700</xdr:colOff>
      <xdr:row>30</xdr:row>
      <xdr:rowOff>104775</xdr:rowOff>
    </xdr:to>
    <xdr:sp>
      <xdr:nvSpPr>
        <xdr:cNvPr id="227" name="Line 235"/>
        <xdr:cNvSpPr>
          <a:spLocks/>
        </xdr:cNvSpPr>
      </xdr:nvSpPr>
      <xdr:spPr>
        <a:xfrm flipH="1">
          <a:off x="590550" y="50482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590550</xdr:colOff>
      <xdr:row>30</xdr:row>
      <xdr:rowOff>95250</xdr:rowOff>
    </xdr:from>
    <xdr:to>
      <xdr:col>15</xdr:col>
      <xdr:colOff>152400</xdr:colOff>
      <xdr:row>30</xdr:row>
      <xdr:rowOff>95250</xdr:rowOff>
    </xdr:to>
    <xdr:sp>
      <xdr:nvSpPr>
        <xdr:cNvPr id="228" name="Line 236"/>
        <xdr:cNvSpPr>
          <a:spLocks/>
        </xdr:cNvSpPr>
      </xdr:nvSpPr>
      <xdr:spPr>
        <a:xfrm flipH="1">
          <a:off x="8515350" y="50387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457200</xdr:colOff>
      <xdr:row>30</xdr:row>
      <xdr:rowOff>85725</xdr:rowOff>
    </xdr:from>
    <xdr:to>
      <xdr:col>18</xdr:col>
      <xdr:colOff>19050</xdr:colOff>
      <xdr:row>30</xdr:row>
      <xdr:rowOff>85725</xdr:rowOff>
    </xdr:to>
    <xdr:sp>
      <xdr:nvSpPr>
        <xdr:cNvPr id="229" name="Line 237"/>
        <xdr:cNvSpPr>
          <a:spLocks/>
        </xdr:cNvSpPr>
      </xdr:nvSpPr>
      <xdr:spPr>
        <a:xfrm>
          <a:off x="10210800" y="50292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19050</xdr:rowOff>
    </xdr:from>
    <xdr:to>
      <xdr:col>18</xdr:col>
      <xdr:colOff>0</xdr:colOff>
      <xdr:row>37</xdr:row>
      <xdr:rowOff>180975</xdr:rowOff>
    </xdr:to>
    <xdr:sp>
      <xdr:nvSpPr>
        <xdr:cNvPr id="230" name="Line 238"/>
        <xdr:cNvSpPr>
          <a:spLocks/>
        </xdr:cNvSpPr>
      </xdr:nvSpPr>
      <xdr:spPr>
        <a:xfrm flipV="1">
          <a:off x="10972800" y="4962525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38100</xdr:rowOff>
    </xdr:from>
    <xdr:to>
      <xdr:col>14</xdr:col>
      <xdr:colOff>0</xdr:colOff>
      <xdr:row>39</xdr:row>
      <xdr:rowOff>142875</xdr:rowOff>
    </xdr:to>
    <xdr:sp>
      <xdr:nvSpPr>
        <xdr:cNvPr id="231" name="Line 239"/>
        <xdr:cNvSpPr>
          <a:spLocks/>
        </xdr:cNvSpPr>
      </xdr:nvSpPr>
      <xdr:spPr>
        <a:xfrm>
          <a:off x="8534400" y="498157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30</xdr:row>
      <xdr:rowOff>47625</xdr:rowOff>
    </xdr:from>
    <xdr:to>
      <xdr:col>4</xdr:col>
      <xdr:colOff>590550</xdr:colOff>
      <xdr:row>30</xdr:row>
      <xdr:rowOff>152400</xdr:rowOff>
    </xdr:to>
    <xdr:sp>
      <xdr:nvSpPr>
        <xdr:cNvPr id="232" name="Line 240"/>
        <xdr:cNvSpPr>
          <a:spLocks/>
        </xdr:cNvSpPr>
      </xdr:nvSpPr>
      <xdr:spPr>
        <a:xfrm>
          <a:off x="3028950" y="49911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38100</xdr:rowOff>
    </xdr:from>
    <xdr:to>
      <xdr:col>1</xdr:col>
      <xdr:colOff>0</xdr:colOff>
      <xdr:row>30</xdr:row>
      <xdr:rowOff>152400</xdr:rowOff>
    </xdr:to>
    <xdr:sp>
      <xdr:nvSpPr>
        <xdr:cNvPr id="233" name="Line 241"/>
        <xdr:cNvSpPr>
          <a:spLocks/>
        </xdr:cNvSpPr>
      </xdr:nvSpPr>
      <xdr:spPr>
        <a:xfrm>
          <a:off x="609600" y="49815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32</xdr:row>
      <xdr:rowOff>95250</xdr:rowOff>
    </xdr:from>
    <xdr:to>
      <xdr:col>0</xdr:col>
      <xdr:colOff>247650</xdr:colOff>
      <xdr:row>33</xdr:row>
      <xdr:rowOff>0</xdr:rowOff>
    </xdr:to>
    <xdr:sp>
      <xdr:nvSpPr>
        <xdr:cNvPr id="234" name="Line 242"/>
        <xdr:cNvSpPr>
          <a:spLocks/>
        </xdr:cNvSpPr>
      </xdr:nvSpPr>
      <xdr:spPr>
        <a:xfrm>
          <a:off x="247650" y="5419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31</xdr:row>
      <xdr:rowOff>0</xdr:rowOff>
    </xdr:from>
    <xdr:to>
      <xdr:col>0</xdr:col>
      <xdr:colOff>285750</xdr:colOff>
      <xdr:row>31</xdr:row>
      <xdr:rowOff>76200</xdr:rowOff>
    </xdr:to>
    <xdr:sp>
      <xdr:nvSpPr>
        <xdr:cNvPr id="235" name="Line 243"/>
        <xdr:cNvSpPr>
          <a:spLocks/>
        </xdr:cNvSpPr>
      </xdr:nvSpPr>
      <xdr:spPr>
        <a:xfrm flipV="1">
          <a:off x="285750" y="5133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30</xdr:row>
      <xdr:rowOff>180975</xdr:rowOff>
    </xdr:from>
    <xdr:to>
      <xdr:col>0</xdr:col>
      <xdr:colOff>400050</xdr:colOff>
      <xdr:row>30</xdr:row>
      <xdr:rowOff>180975</xdr:rowOff>
    </xdr:to>
    <xdr:sp>
      <xdr:nvSpPr>
        <xdr:cNvPr id="236" name="Line 244"/>
        <xdr:cNvSpPr>
          <a:spLocks/>
        </xdr:cNvSpPr>
      </xdr:nvSpPr>
      <xdr:spPr>
        <a:xfrm>
          <a:off x="171450" y="51244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33</xdr:row>
      <xdr:rowOff>0</xdr:rowOff>
    </xdr:from>
    <xdr:to>
      <xdr:col>0</xdr:col>
      <xdr:colOff>400050</xdr:colOff>
      <xdr:row>33</xdr:row>
      <xdr:rowOff>0</xdr:rowOff>
    </xdr:to>
    <xdr:sp>
      <xdr:nvSpPr>
        <xdr:cNvPr id="237" name="Line 245"/>
        <xdr:cNvSpPr>
          <a:spLocks/>
        </xdr:cNvSpPr>
      </xdr:nvSpPr>
      <xdr:spPr>
        <a:xfrm>
          <a:off x="114300" y="55149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43</xdr:row>
      <xdr:rowOff>0</xdr:rowOff>
    </xdr:from>
    <xdr:to>
      <xdr:col>16</xdr:col>
      <xdr:colOff>304800</xdr:colOff>
      <xdr:row>48</xdr:row>
      <xdr:rowOff>19050</xdr:rowOff>
    </xdr:to>
    <xdr:sp>
      <xdr:nvSpPr>
        <xdr:cNvPr id="238" name="Line 246"/>
        <xdr:cNvSpPr>
          <a:spLocks/>
        </xdr:cNvSpPr>
      </xdr:nvSpPr>
      <xdr:spPr>
        <a:xfrm>
          <a:off x="10058400" y="74199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41</xdr:row>
      <xdr:rowOff>0</xdr:rowOff>
    </xdr:from>
    <xdr:to>
      <xdr:col>11</xdr:col>
      <xdr:colOff>285750</xdr:colOff>
      <xdr:row>45</xdr:row>
      <xdr:rowOff>0</xdr:rowOff>
    </xdr:to>
    <xdr:sp>
      <xdr:nvSpPr>
        <xdr:cNvPr id="239" name="Line 247"/>
        <xdr:cNvSpPr>
          <a:spLocks/>
        </xdr:cNvSpPr>
      </xdr:nvSpPr>
      <xdr:spPr>
        <a:xfrm>
          <a:off x="6991350" y="7038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33</xdr:row>
      <xdr:rowOff>66675</xdr:rowOff>
    </xdr:from>
    <xdr:to>
      <xdr:col>1</xdr:col>
      <xdr:colOff>304800</xdr:colOff>
      <xdr:row>39</xdr:row>
      <xdr:rowOff>66675</xdr:rowOff>
    </xdr:to>
    <xdr:sp>
      <xdr:nvSpPr>
        <xdr:cNvPr id="240" name="Line 248"/>
        <xdr:cNvSpPr>
          <a:spLocks/>
        </xdr:cNvSpPr>
      </xdr:nvSpPr>
      <xdr:spPr>
        <a:xfrm>
          <a:off x="914400" y="55816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35</xdr:row>
      <xdr:rowOff>152400</xdr:rowOff>
    </xdr:from>
    <xdr:to>
      <xdr:col>6</xdr:col>
      <xdr:colOff>304800</xdr:colOff>
      <xdr:row>41</xdr:row>
      <xdr:rowOff>28575</xdr:rowOff>
    </xdr:to>
    <xdr:sp>
      <xdr:nvSpPr>
        <xdr:cNvPr id="241" name="Line 249"/>
        <xdr:cNvSpPr>
          <a:spLocks/>
        </xdr:cNvSpPr>
      </xdr:nvSpPr>
      <xdr:spPr>
        <a:xfrm>
          <a:off x="3962400" y="604837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35</xdr:row>
      <xdr:rowOff>104775</xdr:rowOff>
    </xdr:from>
    <xdr:to>
      <xdr:col>6</xdr:col>
      <xdr:colOff>285750</xdr:colOff>
      <xdr:row>35</xdr:row>
      <xdr:rowOff>104775</xdr:rowOff>
    </xdr:to>
    <xdr:sp>
      <xdr:nvSpPr>
        <xdr:cNvPr id="242" name="Line 250"/>
        <xdr:cNvSpPr>
          <a:spLocks/>
        </xdr:cNvSpPr>
      </xdr:nvSpPr>
      <xdr:spPr>
        <a:xfrm>
          <a:off x="2724150" y="6000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35</xdr:row>
      <xdr:rowOff>76200</xdr:rowOff>
    </xdr:from>
    <xdr:to>
      <xdr:col>2</xdr:col>
      <xdr:colOff>571500</xdr:colOff>
      <xdr:row>35</xdr:row>
      <xdr:rowOff>76200</xdr:rowOff>
    </xdr:to>
    <xdr:sp>
      <xdr:nvSpPr>
        <xdr:cNvPr id="243" name="Line 251"/>
        <xdr:cNvSpPr>
          <a:spLocks/>
        </xdr:cNvSpPr>
      </xdr:nvSpPr>
      <xdr:spPr>
        <a:xfrm flipH="1">
          <a:off x="933450" y="59721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43</xdr:row>
      <xdr:rowOff>123825</xdr:rowOff>
    </xdr:from>
    <xdr:to>
      <xdr:col>13</xdr:col>
      <xdr:colOff>57150</xdr:colOff>
      <xdr:row>43</xdr:row>
      <xdr:rowOff>123825</xdr:rowOff>
    </xdr:to>
    <xdr:sp>
      <xdr:nvSpPr>
        <xdr:cNvPr id="244" name="Line 252"/>
        <xdr:cNvSpPr>
          <a:spLocks/>
        </xdr:cNvSpPr>
      </xdr:nvSpPr>
      <xdr:spPr>
        <a:xfrm flipH="1">
          <a:off x="6972300" y="75438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43</xdr:row>
      <xdr:rowOff>123825</xdr:rowOff>
    </xdr:from>
    <xdr:to>
      <xdr:col>16</xdr:col>
      <xdr:colOff>304800</xdr:colOff>
      <xdr:row>43</xdr:row>
      <xdr:rowOff>123825</xdr:rowOff>
    </xdr:to>
    <xdr:sp>
      <xdr:nvSpPr>
        <xdr:cNvPr id="245" name="Line 253"/>
        <xdr:cNvSpPr>
          <a:spLocks/>
        </xdr:cNvSpPr>
      </xdr:nvSpPr>
      <xdr:spPr>
        <a:xfrm>
          <a:off x="8782050" y="75438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32</xdr:row>
      <xdr:rowOff>95250</xdr:rowOff>
    </xdr:from>
    <xdr:to>
      <xdr:col>6</xdr:col>
      <xdr:colOff>171450</xdr:colOff>
      <xdr:row>33</xdr:row>
      <xdr:rowOff>95250</xdr:rowOff>
    </xdr:to>
    <xdr:sp>
      <xdr:nvSpPr>
        <xdr:cNvPr id="246" name="Line 254"/>
        <xdr:cNvSpPr>
          <a:spLocks/>
        </xdr:cNvSpPr>
      </xdr:nvSpPr>
      <xdr:spPr>
        <a:xfrm>
          <a:off x="3829050" y="54197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32</xdr:row>
      <xdr:rowOff>104775</xdr:rowOff>
    </xdr:from>
    <xdr:to>
      <xdr:col>6</xdr:col>
      <xdr:colOff>590550</xdr:colOff>
      <xdr:row>32</xdr:row>
      <xdr:rowOff>104775</xdr:rowOff>
    </xdr:to>
    <xdr:sp>
      <xdr:nvSpPr>
        <xdr:cNvPr id="247" name="Line 255"/>
        <xdr:cNvSpPr>
          <a:spLocks/>
        </xdr:cNvSpPr>
      </xdr:nvSpPr>
      <xdr:spPr>
        <a:xfrm>
          <a:off x="3810000" y="54292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33</xdr:row>
      <xdr:rowOff>133350</xdr:rowOff>
    </xdr:from>
    <xdr:to>
      <xdr:col>8</xdr:col>
      <xdr:colOff>133350</xdr:colOff>
      <xdr:row>36</xdr:row>
      <xdr:rowOff>9525</xdr:rowOff>
    </xdr:to>
    <xdr:sp>
      <xdr:nvSpPr>
        <xdr:cNvPr id="248" name="Line 256"/>
        <xdr:cNvSpPr>
          <a:spLocks/>
        </xdr:cNvSpPr>
      </xdr:nvSpPr>
      <xdr:spPr>
        <a:xfrm>
          <a:off x="5010150" y="56483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33</xdr:row>
      <xdr:rowOff>123825</xdr:rowOff>
    </xdr:from>
    <xdr:to>
      <xdr:col>8</xdr:col>
      <xdr:colOff>552450</xdr:colOff>
      <xdr:row>33</xdr:row>
      <xdr:rowOff>123825</xdr:rowOff>
    </xdr:to>
    <xdr:sp>
      <xdr:nvSpPr>
        <xdr:cNvPr id="249" name="Line 257"/>
        <xdr:cNvSpPr>
          <a:spLocks/>
        </xdr:cNvSpPr>
      </xdr:nvSpPr>
      <xdr:spPr>
        <a:xfrm>
          <a:off x="5010150" y="56388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34</xdr:row>
      <xdr:rowOff>133350</xdr:rowOff>
    </xdr:from>
    <xdr:to>
      <xdr:col>9</xdr:col>
      <xdr:colOff>495300</xdr:colOff>
      <xdr:row>36</xdr:row>
      <xdr:rowOff>133350</xdr:rowOff>
    </xdr:to>
    <xdr:sp>
      <xdr:nvSpPr>
        <xdr:cNvPr id="250" name="Line 258"/>
        <xdr:cNvSpPr>
          <a:spLocks/>
        </xdr:cNvSpPr>
      </xdr:nvSpPr>
      <xdr:spPr>
        <a:xfrm>
          <a:off x="5981700" y="58388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34</xdr:row>
      <xdr:rowOff>133350</xdr:rowOff>
    </xdr:from>
    <xdr:to>
      <xdr:col>10</xdr:col>
      <xdr:colOff>76200</xdr:colOff>
      <xdr:row>34</xdr:row>
      <xdr:rowOff>133350</xdr:rowOff>
    </xdr:to>
    <xdr:sp>
      <xdr:nvSpPr>
        <xdr:cNvPr id="251" name="Line 259"/>
        <xdr:cNvSpPr>
          <a:spLocks/>
        </xdr:cNvSpPr>
      </xdr:nvSpPr>
      <xdr:spPr>
        <a:xfrm>
          <a:off x="5981700" y="5838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19050</xdr:rowOff>
    </xdr:from>
    <xdr:to>
      <xdr:col>12</xdr:col>
      <xdr:colOff>0</xdr:colOff>
      <xdr:row>37</xdr:row>
      <xdr:rowOff>152400</xdr:rowOff>
    </xdr:to>
    <xdr:sp>
      <xdr:nvSpPr>
        <xdr:cNvPr id="252" name="Line 260"/>
        <xdr:cNvSpPr>
          <a:spLocks/>
        </xdr:cNvSpPr>
      </xdr:nvSpPr>
      <xdr:spPr>
        <a:xfrm>
          <a:off x="7315200" y="62960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37</xdr:row>
      <xdr:rowOff>104775</xdr:rowOff>
    </xdr:from>
    <xdr:to>
      <xdr:col>11</xdr:col>
      <xdr:colOff>19050</xdr:colOff>
      <xdr:row>37</xdr:row>
      <xdr:rowOff>104775</xdr:rowOff>
    </xdr:to>
    <xdr:sp>
      <xdr:nvSpPr>
        <xdr:cNvPr id="253" name="Line 261"/>
        <xdr:cNvSpPr>
          <a:spLocks/>
        </xdr:cNvSpPr>
      </xdr:nvSpPr>
      <xdr:spPr>
        <a:xfrm>
          <a:off x="6534150" y="6381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590550</xdr:colOff>
      <xdr:row>37</xdr:row>
      <xdr:rowOff>104775</xdr:rowOff>
    </xdr:from>
    <xdr:to>
      <xdr:col>12</xdr:col>
      <xdr:colOff>266700</xdr:colOff>
      <xdr:row>37</xdr:row>
      <xdr:rowOff>104775</xdr:rowOff>
    </xdr:to>
    <xdr:sp>
      <xdr:nvSpPr>
        <xdr:cNvPr id="254" name="Line 262"/>
        <xdr:cNvSpPr>
          <a:spLocks/>
        </xdr:cNvSpPr>
      </xdr:nvSpPr>
      <xdr:spPr>
        <a:xfrm flipH="1">
          <a:off x="7296150" y="6381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38</xdr:row>
      <xdr:rowOff>0</xdr:rowOff>
    </xdr:from>
    <xdr:to>
      <xdr:col>12</xdr:col>
      <xdr:colOff>552450</xdr:colOff>
      <xdr:row>38</xdr:row>
      <xdr:rowOff>0</xdr:rowOff>
    </xdr:to>
    <xdr:sp>
      <xdr:nvSpPr>
        <xdr:cNvPr id="255" name="Line 263"/>
        <xdr:cNvSpPr>
          <a:spLocks/>
        </xdr:cNvSpPr>
      </xdr:nvSpPr>
      <xdr:spPr>
        <a:xfrm>
          <a:off x="7524750" y="6467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37</xdr:row>
      <xdr:rowOff>76200</xdr:rowOff>
    </xdr:from>
    <xdr:to>
      <xdr:col>12</xdr:col>
      <xdr:colOff>323850</xdr:colOff>
      <xdr:row>38</xdr:row>
      <xdr:rowOff>9525</xdr:rowOff>
    </xdr:to>
    <xdr:sp>
      <xdr:nvSpPr>
        <xdr:cNvPr id="256" name="Line 264"/>
        <xdr:cNvSpPr>
          <a:spLocks/>
        </xdr:cNvSpPr>
      </xdr:nvSpPr>
      <xdr:spPr>
        <a:xfrm>
          <a:off x="7639050" y="63531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39</xdr:row>
      <xdr:rowOff>0</xdr:rowOff>
    </xdr:from>
    <xdr:to>
      <xdr:col>12</xdr:col>
      <xdr:colOff>342900</xdr:colOff>
      <xdr:row>39</xdr:row>
      <xdr:rowOff>123825</xdr:rowOff>
    </xdr:to>
    <xdr:sp>
      <xdr:nvSpPr>
        <xdr:cNvPr id="257" name="Line 265"/>
        <xdr:cNvSpPr>
          <a:spLocks/>
        </xdr:cNvSpPr>
      </xdr:nvSpPr>
      <xdr:spPr>
        <a:xfrm flipV="1">
          <a:off x="7658100" y="6657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39</xdr:row>
      <xdr:rowOff>180975</xdr:rowOff>
    </xdr:from>
    <xdr:to>
      <xdr:col>17</xdr:col>
      <xdr:colOff>209550</xdr:colOff>
      <xdr:row>41</xdr:row>
      <xdr:rowOff>28575</xdr:rowOff>
    </xdr:to>
    <xdr:sp>
      <xdr:nvSpPr>
        <xdr:cNvPr id="258" name="Line 266"/>
        <xdr:cNvSpPr>
          <a:spLocks/>
        </xdr:cNvSpPr>
      </xdr:nvSpPr>
      <xdr:spPr>
        <a:xfrm>
          <a:off x="10572750" y="6838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49</xdr:row>
      <xdr:rowOff>114300</xdr:rowOff>
    </xdr:from>
    <xdr:to>
      <xdr:col>15</xdr:col>
      <xdr:colOff>38100</xdr:colOff>
      <xdr:row>49</xdr:row>
      <xdr:rowOff>114300</xdr:rowOff>
    </xdr:to>
    <xdr:sp>
      <xdr:nvSpPr>
        <xdr:cNvPr id="259" name="Line 267"/>
        <xdr:cNvSpPr>
          <a:spLocks/>
        </xdr:cNvSpPr>
      </xdr:nvSpPr>
      <xdr:spPr>
        <a:xfrm>
          <a:off x="6667500" y="867727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49</xdr:row>
      <xdr:rowOff>114300</xdr:rowOff>
    </xdr:from>
    <xdr:to>
      <xdr:col>9</xdr:col>
      <xdr:colOff>266700</xdr:colOff>
      <xdr:row>49</xdr:row>
      <xdr:rowOff>114300</xdr:rowOff>
    </xdr:to>
    <xdr:sp>
      <xdr:nvSpPr>
        <xdr:cNvPr id="260" name="Line 268"/>
        <xdr:cNvSpPr>
          <a:spLocks/>
        </xdr:cNvSpPr>
      </xdr:nvSpPr>
      <xdr:spPr>
        <a:xfrm flipH="1">
          <a:off x="2419350" y="8677275"/>
          <a:ext cx="333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49</xdr:row>
      <xdr:rowOff>95250</xdr:rowOff>
    </xdr:from>
    <xdr:to>
      <xdr:col>15</xdr:col>
      <xdr:colOff>19050</xdr:colOff>
      <xdr:row>49</xdr:row>
      <xdr:rowOff>152400</xdr:rowOff>
    </xdr:to>
    <xdr:sp>
      <xdr:nvSpPr>
        <xdr:cNvPr id="261" name="Line 269"/>
        <xdr:cNvSpPr>
          <a:spLocks/>
        </xdr:cNvSpPr>
      </xdr:nvSpPr>
      <xdr:spPr>
        <a:xfrm flipV="1">
          <a:off x="9163050" y="86582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49</xdr:row>
      <xdr:rowOff>66675</xdr:rowOff>
    </xdr:from>
    <xdr:to>
      <xdr:col>3</xdr:col>
      <xdr:colOff>590550</xdr:colOff>
      <xdr:row>49</xdr:row>
      <xdr:rowOff>152400</xdr:rowOff>
    </xdr:to>
    <xdr:sp>
      <xdr:nvSpPr>
        <xdr:cNvPr id="262" name="Line 270"/>
        <xdr:cNvSpPr>
          <a:spLocks/>
        </xdr:cNvSpPr>
      </xdr:nvSpPr>
      <xdr:spPr>
        <a:xfrm flipV="1">
          <a:off x="2419350" y="8629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31</xdr:row>
      <xdr:rowOff>0</xdr:rowOff>
    </xdr:from>
    <xdr:to>
      <xdr:col>0</xdr:col>
      <xdr:colOff>590550</xdr:colOff>
      <xdr:row>33</xdr:row>
      <xdr:rowOff>38100</xdr:rowOff>
    </xdr:to>
    <xdr:sp>
      <xdr:nvSpPr>
        <xdr:cNvPr id="263" name="Line 271"/>
        <xdr:cNvSpPr>
          <a:spLocks/>
        </xdr:cNvSpPr>
      </xdr:nvSpPr>
      <xdr:spPr>
        <a:xfrm>
          <a:off x="590550" y="51339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209550</xdr:colOff>
      <xdr:row>41</xdr:row>
      <xdr:rowOff>133350</xdr:rowOff>
    </xdr:from>
    <xdr:to>
      <xdr:col>18</xdr:col>
      <xdr:colOff>609600</xdr:colOff>
      <xdr:row>41</xdr:row>
      <xdr:rowOff>133350</xdr:rowOff>
    </xdr:to>
    <xdr:sp>
      <xdr:nvSpPr>
        <xdr:cNvPr id="264" name="Line 272"/>
        <xdr:cNvSpPr>
          <a:spLocks/>
        </xdr:cNvSpPr>
      </xdr:nvSpPr>
      <xdr:spPr>
        <a:xfrm>
          <a:off x="11182350" y="71723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40</xdr:row>
      <xdr:rowOff>180975</xdr:rowOff>
    </xdr:from>
    <xdr:to>
      <xdr:col>18</xdr:col>
      <xdr:colOff>533400</xdr:colOff>
      <xdr:row>40</xdr:row>
      <xdr:rowOff>180975</xdr:rowOff>
    </xdr:to>
    <xdr:sp>
      <xdr:nvSpPr>
        <xdr:cNvPr id="265" name="Line 273"/>
        <xdr:cNvSpPr>
          <a:spLocks/>
        </xdr:cNvSpPr>
      </xdr:nvSpPr>
      <xdr:spPr>
        <a:xfrm>
          <a:off x="11163300" y="7029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342900</xdr:colOff>
      <xdr:row>41</xdr:row>
      <xdr:rowOff>123825</xdr:rowOff>
    </xdr:from>
    <xdr:to>
      <xdr:col>18</xdr:col>
      <xdr:colOff>342900</xdr:colOff>
      <xdr:row>42</xdr:row>
      <xdr:rowOff>47625</xdr:rowOff>
    </xdr:to>
    <xdr:sp>
      <xdr:nvSpPr>
        <xdr:cNvPr id="266" name="Line 274"/>
        <xdr:cNvSpPr>
          <a:spLocks/>
        </xdr:cNvSpPr>
      </xdr:nvSpPr>
      <xdr:spPr>
        <a:xfrm flipV="1">
          <a:off x="11315700" y="7162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342900</xdr:colOff>
      <xdr:row>40</xdr:row>
      <xdr:rowOff>57150</xdr:rowOff>
    </xdr:from>
    <xdr:to>
      <xdr:col>18</xdr:col>
      <xdr:colOff>342900</xdr:colOff>
      <xdr:row>40</xdr:row>
      <xdr:rowOff>180975</xdr:rowOff>
    </xdr:to>
    <xdr:sp>
      <xdr:nvSpPr>
        <xdr:cNvPr id="267" name="Line 275"/>
        <xdr:cNvSpPr>
          <a:spLocks/>
        </xdr:cNvSpPr>
      </xdr:nvSpPr>
      <xdr:spPr>
        <a:xfrm>
          <a:off x="11315700" y="69056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50</xdr:row>
      <xdr:rowOff>0</xdr:rowOff>
    </xdr:from>
    <xdr:to>
      <xdr:col>15</xdr:col>
      <xdr:colOff>533400</xdr:colOff>
      <xdr:row>50</xdr:row>
      <xdr:rowOff>0</xdr:rowOff>
    </xdr:to>
    <xdr:sp>
      <xdr:nvSpPr>
        <xdr:cNvPr id="268" name="Line 276"/>
        <xdr:cNvSpPr>
          <a:spLocks/>
        </xdr:cNvSpPr>
      </xdr:nvSpPr>
      <xdr:spPr>
        <a:xfrm>
          <a:off x="9296400" y="8753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51</xdr:row>
      <xdr:rowOff>180975</xdr:rowOff>
    </xdr:from>
    <xdr:to>
      <xdr:col>15</xdr:col>
      <xdr:colOff>514350</xdr:colOff>
      <xdr:row>51</xdr:row>
      <xdr:rowOff>180975</xdr:rowOff>
    </xdr:to>
    <xdr:sp>
      <xdr:nvSpPr>
        <xdr:cNvPr id="269" name="Line 277"/>
        <xdr:cNvSpPr>
          <a:spLocks/>
        </xdr:cNvSpPr>
      </xdr:nvSpPr>
      <xdr:spPr>
        <a:xfrm>
          <a:off x="9315450" y="9124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304800</xdr:colOff>
      <xdr:row>49</xdr:row>
      <xdr:rowOff>47625</xdr:rowOff>
    </xdr:from>
    <xdr:to>
      <xdr:col>15</xdr:col>
      <xdr:colOff>304800</xdr:colOff>
      <xdr:row>50</xdr:row>
      <xdr:rowOff>9525</xdr:rowOff>
    </xdr:to>
    <xdr:sp>
      <xdr:nvSpPr>
        <xdr:cNvPr id="270" name="Line 278"/>
        <xdr:cNvSpPr>
          <a:spLocks/>
        </xdr:cNvSpPr>
      </xdr:nvSpPr>
      <xdr:spPr>
        <a:xfrm>
          <a:off x="9448800" y="861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304800</xdr:colOff>
      <xdr:row>51</xdr:row>
      <xdr:rowOff>171450</xdr:rowOff>
    </xdr:from>
    <xdr:to>
      <xdr:col>15</xdr:col>
      <xdr:colOff>304800</xdr:colOff>
      <xdr:row>52</xdr:row>
      <xdr:rowOff>133350</xdr:rowOff>
    </xdr:to>
    <xdr:sp>
      <xdr:nvSpPr>
        <xdr:cNvPr id="271" name="Line 279"/>
        <xdr:cNvSpPr>
          <a:spLocks/>
        </xdr:cNvSpPr>
      </xdr:nvSpPr>
      <xdr:spPr>
        <a:xfrm flipV="1">
          <a:off x="9448800" y="91154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41</xdr:row>
      <xdr:rowOff>85725</xdr:rowOff>
    </xdr:from>
    <xdr:to>
      <xdr:col>17</xdr:col>
      <xdr:colOff>400050</xdr:colOff>
      <xdr:row>42</xdr:row>
      <xdr:rowOff>57150</xdr:rowOff>
    </xdr:to>
    <xdr:sp>
      <xdr:nvSpPr>
        <xdr:cNvPr id="272" name="Line 280"/>
        <xdr:cNvSpPr>
          <a:spLocks/>
        </xdr:cNvSpPr>
      </xdr:nvSpPr>
      <xdr:spPr>
        <a:xfrm flipH="1" flipV="1">
          <a:off x="10382250" y="7124700"/>
          <a:ext cx="3810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41</xdr:row>
      <xdr:rowOff>57150</xdr:rowOff>
    </xdr:from>
    <xdr:to>
      <xdr:col>17</xdr:col>
      <xdr:colOff>571500</xdr:colOff>
      <xdr:row>42</xdr:row>
      <xdr:rowOff>66675</xdr:rowOff>
    </xdr:to>
    <xdr:sp>
      <xdr:nvSpPr>
        <xdr:cNvPr id="273" name="Line 281"/>
        <xdr:cNvSpPr>
          <a:spLocks/>
        </xdr:cNvSpPr>
      </xdr:nvSpPr>
      <xdr:spPr>
        <a:xfrm flipV="1">
          <a:off x="10744200" y="7096125"/>
          <a:ext cx="1905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114300</xdr:rowOff>
    </xdr:from>
    <xdr:to>
      <xdr:col>8</xdr:col>
      <xdr:colOff>171450</xdr:colOff>
      <xdr:row>55</xdr:row>
      <xdr:rowOff>114300</xdr:rowOff>
    </xdr:to>
    <xdr:sp>
      <xdr:nvSpPr>
        <xdr:cNvPr id="274" name="Line 282"/>
        <xdr:cNvSpPr>
          <a:spLocks/>
        </xdr:cNvSpPr>
      </xdr:nvSpPr>
      <xdr:spPr>
        <a:xfrm>
          <a:off x="3657600" y="98202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51</xdr:row>
      <xdr:rowOff>57150</xdr:rowOff>
    </xdr:from>
    <xdr:to>
      <xdr:col>7</xdr:col>
      <xdr:colOff>514350</xdr:colOff>
      <xdr:row>51</xdr:row>
      <xdr:rowOff>57150</xdr:rowOff>
    </xdr:to>
    <xdr:sp>
      <xdr:nvSpPr>
        <xdr:cNvPr id="275" name="Line 283"/>
        <xdr:cNvSpPr>
          <a:spLocks/>
        </xdr:cNvSpPr>
      </xdr:nvSpPr>
      <xdr:spPr>
        <a:xfrm>
          <a:off x="4038600" y="9001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50</xdr:row>
      <xdr:rowOff>114300</xdr:rowOff>
    </xdr:from>
    <xdr:to>
      <xdr:col>7</xdr:col>
      <xdr:colOff>533400</xdr:colOff>
      <xdr:row>51</xdr:row>
      <xdr:rowOff>57150</xdr:rowOff>
    </xdr:to>
    <xdr:sp>
      <xdr:nvSpPr>
        <xdr:cNvPr id="276" name="Line 284"/>
        <xdr:cNvSpPr>
          <a:spLocks/>
        </xdr:cNvSpPr>
      </xdr:nvSpPr>
      <xdr:spPr>
        <a:xfrm flipV="1">
          <a:off x="4800600" y="88677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51</xdr:row>
      <xdr:rowOff>66675</xdr:rowOff>
    </xdr:from>
    <xdr:to>
      <xdr:col>6</xdr:col>
      <xdr:colOff>571500</xdr:colOff>
      <xdr:row>53</xdr:row>
      <xdr:rowOff>104775</xdr:rowOff>
    </xdr:to>
    <xdr:sp>
      <xdr:nvSpPr>
        <xdr:cNvPr id="277" name="Line 285"/>
        <xdr:cNvSpPr>
          <a:spLocks/>
        </xdr:cNvSpPr>
      </xdr:nvSpPr>
      <xdr:spPr>
        <a:xfrm>
          <a:off x="4229100" y="90106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53</xdr:row>
      <xdr:rowOff>104775</xdr:rowOff>
    </xdr:from>
    <xdr:to>
      <xdr:col>6</xdr:col>
      <xdr:colOff>571500</xdr:colOff>
      <xdr:row>53</xdr:row>
      <xdr:rowOff>104775</xdr:rowOff>
    </xdr:to>
    <xdr:sp>
      <xdr:nvSpPr>
        <xdr:cNvPr id="278" name="Line 286"/>
        <xdr:cNvSpPr>
          <a:spLocks/>
        </xdr:cNvSpPr>
      </xdr:nvSpPr>
      <xdr:spPr>
        <a:xfrm flipH="1">
          <a:off x="3638550" y="94297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k_nandwana@yahoo.co.i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k_nandwana@yahoo.co.i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k_nandwana@yahoo.co.in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AK67"/>
  <sheetViews>
    <sheetView showGridLines="0" tabSelected="1" zoomScalePageLayoutView="0" workbookViewId="0" topLeftCell="A25">
      <selection activeCell="Q7" sqref="Q7"/>
    </sheetView>
  </sheetViews>
  <sheetFormatPr defaultColWidth="9.140625" defaultRowHeight="12.75"/>
  <cols>
    <col min="1" max="18" width="4.57421875" style="210" customWidth="1"/>
    <col min="19" max="19" width="5.140625" style="210" customWidth="1"/>
    <col min="20" max="21" width="5.28125" style="210" customWidth="1"/>
    <col min="22" max="34" width="4.57421875" style="210" customWidth="1"/>
    <col min="35" max="35" width="10.7109375" style="210" customWidth="1"/>
    <col min="36" max="16384" width="9.140625" style="210" customWidth="1"/>
  </cols>
  <sheetData>
    <row r="1" spans="2:21" ht="12.75">
      <c r="B1" s="401" t="s">
        <v>114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209"/>
    </row>
    <row r="2" spans="2:31" ht="15.75">
      <c r="B2" s="355" t="s">
        <v>113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7"/>
      <c r="U2" s="335"/>
      <c r="X2" s="395" t="s">
        <v>358</v>
      </c>
      <c r="Y2" s="396"/>
      <c r="Z2" s="396"/>
      <c r="AA2" s="396"/>
      <c r="AB2" s="396"/>
      <c r="AC2" s="396"/>
      <c r="AD2" s="396"/>
      <c r="AE2" s="397"/>
    </row>
    <row r="3" spans="2:37" ht="9.75" customHeight="1">
      <c r="B3" s="244"/>
      <c r="C3" s="245"/>
      <c r="D3" s="245"/>
      <c r="E3" s="245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7"/>
      <c r="U3" s="336"/>
      <c r="X3" s="224"/>
      <c r="Y3" s="224"/>
      <c r="Z3" s="224"/>
      <c r="AA3" s="224"/>
      <c r="AB3" s="224"/>
      <c r="AC3" s="224"/>
      <c r="AD3" s="224"/>
      <c r="AE3" s="224"/>
      <c r="AF3" s="413" t="s">
        <v>363</v>
      </c>
      <c r="AG3" s="414"/>
      <c r="AH3" s="414"/>
      <c r="AI3" s="414"/>
      <c r="AJ3" s="414"/>
      <c r="AK3" s="415"/>
    </row>
    <row r="4" spans="2:37" ht="15">
      <c r="B4" s="299" t="s">
        <v>347</v>
      </c>
      <c r="C4" s="249"/>
      <c r="D4" s="249"/>
      <c r="E4" s="250"/>
      <c r="F4" s="369" t="s">
        <v>348</v>
      </c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1"/>
      <c r="U4" s="337"/>
      <c r="AF4" s="416"/>
      <c r="AG4" s="417"/>
      <c r="AH4" s="417"/>
      <c r="AI4" s="417"/>
      <c r="AJ4" s="417"/>
      <c r="AK4" s="418"/>
    </row>
    <row r="5" spans="2:37" ht="15.75">
      <c r="B5" s="360" t="s">
        <v>314</v>
      </c>
      <c r="C5" s="361"/>
      <c r="D5" s="361"/>
      <c r="E5" s="361"/>
      <c r="F5" s="361"/>
      <c r="G5" s="361"/>
      <c r="H5" s="362"/>
      <c r="I5" s="358">
        <v>5.2</v>
      </c>
      <c r="J5" s="359"/>
      <c r="K5" s="363" t="s">
        <v>117</v>
      </c>
      <c r="L5" s="364"/>
      <c r="M5" s="358">
        <v>4.4</v>
      </c>
      <c r="N5" s="359"/>
      <c r="O5" s="251" t="s">
        <v>13</v>
      </c>
      <c r="P5" s="252"/>
      <c r="Q5" s="252"/>
      <c r="R5" s="252"/>
      <c r="S5" s="252"/>
      <c r="T5" s="253"/>
      <c r="U5" s="338"/>
      <c r="X5" s="398">
        <f>I7</f>
        <v>1.4</v>
      </c>
      <c r="Y5" s="399"/>
      <c r="Z5" s="213"/>
      <c r="AA5" s="398">
        <f>I5-2*X5</f>
        <v>2.4000000000000004</v>
      </c>
      <c r="AB5" s="398"/>
      <c r="AC5" s="214"/>
      <c r="AD5" s="398">
        <f>X5</f>
        <v>1.4</v>
      </c>
      <c r="AE5" s="399"/>
      <c r="AF5" s="419"/>
      <c r="AG5" s="420"/>
      <c r="AH5" s="420"/>
      <c r="AI5" s="420"/>
      <c r="AJ5" s="420"/>
      <c r="AK5" s="406"/>
    </row>
    <row r="6" spans="2:28" ht="14.25" customHeight="1">
      <c r="B6" s="248" t="s">
        <v>349</v>
      </c>
      <c r="C6" s="254"/>
      <c r="D6" s="254"/>
      <c r="E6" s="254"/>
      <c r="F6" s="254"/>
      <c r="G6" s="254"/>
      <c r="H6" s="254"/>
      <c r="I6" s="365">
        <v>3.6</v>
      </c>
      <c r="J6" s="366"/>
      <c r="K6" s="254" t="s">
        <v>13</v>
      </c>
      <c r="L6" s="254"/>
      <c r="M6" s="367">
        <f>I6*1000</f>
        <v>3600</v>
      </c>
      <c r="N6" s="368"/>
      <c r="O6" s="254" t="s">
        <v>20</v>
      </c>
      <c r="P6" s="251"/>
      <c r="Q6" s="255"/>
      <c r="R6" s="255"/>
      <c r="S6" s="255"/>
      <c r="T6" s="256"/>
      <c r="U6" s="339"/>
      <c r="Z6" s="345" t="s">
        <v>356</v>
      </c>
      <c r="AA6" s="345"/>
      <c r="AB6" s="209">
        <f>AF24</f>
        <v>9</v>
      </c>
    </row>
    <row r="7" spans="2:36" ht="15.75">
      <c r="B7" s="257" t="s">
        <v>315</v>
      </c>
      <c r="C7" s="255"/>
      <c r="D7" s="255"/>
      <c r="E7" s="255"/>
      <c r="F7" s="255"/>
      <c r="G7" s="255"/>
      <c r="H7" s="258"/>
      <c r="I7" s="379">
        <v>1.4</v>
      </c>
      <c r="J7" s="380"/>
      <c r="K7" s="239" t="s">
        <v>21</v>
      </c>
      <c r="L7" s="239"/>
      <c r="M7" s="381">
        <f>I7*1000</f>
        <v>1400</v>
      </c>
      <c r="N7" s="382"/>
      <c r="O7" s="239" t="s">
        <v>20</v>
      </c>
      <c r="P7" s="255"/>
      <c r="Q7" s="255"/>
      <c r="R7" s="255"/>
      <c r="S7" s="255"/>
      <c r="T7" s="258"/>
      <c r="U7" s="328"/>
      <c r="X7" s="400">
        <f>AA21-AA7-AD7</f>
        <v>1.5</v>
      </c>
      <c r="Y7" s="401"/>
      <c r="AA7" s="400">
        <f>AI24/1000</f>
        <v>2.25</v>
      </c>
      <c r="AB7" s="400"/>
      <c r="AD7" s="400">
        <f>AF9</f>
        <v>1.4500000000000002</v>
      </c>
      <c r="AE7" s="401"/>
      <c r="AJ7" s="215">
        <f>AD7+AA7+X7</f>
        <v>5.2</v>
      </c>
    </row>
    <row r="8" spans="2:21" ht="15.75">
      <c r="B8" s="257" t="s">
        <v>98</v>
      </c>
      <c r="C8" s="255"/>
      <c r="D8" s="255"/>
      <c r="E8" s="255"/>
      <c r="F8" s="255"/>
      <c r="G8" s="255"/>
      <c r="H8" s="258"/>
      <c r="I8" s="379">
        <v>0.16</v>
      </c>
      <c r="J8" s="380"/>
      <c r="K8" s="255" t="s">
        <v>21</v>
      </c>
      <c r="L8" s="255"/>
      <c r="M8" s="381">
        <f>I8*1000</f>
        <v>160</v>
      </c>
      <c r="N8" s="382"/>
      <c r="O8" s="239" t="s">
        <v>20</v>
      </c>
      <c r="P8" s="255"/>
      <c r="Q8" s="255"/>
      <c r="R8" s="255"/>
      <c r="S8" s="255"/>
      <c r="T8" s="258"/>
      <c r="U8" s="328"/>
    </row>
    <row r="9" spans="2:34" ht="15.75">
      <c r="B9" s="257" t="s">
        <v>99</v>
      </c>
      <c r="C9" s="255"/>
      <c r="D9" s="255"/>
      <c r="E9" s="255"/>
      <c r="F9" s="255"/>
      <c r="G9" s="255"/>
      <c r="H9" s="258"/>
      <c r="I9" s="379">
        <v>0.25</v>
      </c>
      <c r="J9" s="380"/>
      <c r="K9" s="255" t="s">
        <v>21</v>
      </c>
      <c r="L9" s="255"/>
      <c r="M9" s="381">
        <f>I9*1000</f>
        <v>250</v>
      </c>
      <c r="N9" s="382"/>
      <c r="O9" s="239" t="s">
        <v>20</v>
      </c>
      <c r="P9" s="255"/>
      <c r="Q9" s="255"/>
      <c r="R9" s="255"/>
      <c r="S9" s="255"/>
      <c r="T9" s="258"/>
      <c r="U9" s="328"/>
      <c r="W9" s="208" t="s">
        <v>27</v>
      </c>
      <c r="AE9" s="209" t="s">
        <v>116</v>
      </c>
      <c r="AF9" s="401">
        <f>(V13-AF12)/2</f>
        <v>1.4500000000000002</v>
      </c>
      <c r="AG9" s="401"/>
      <c r="AH9" s="216">
        <f>AD5</f>
        <v>1.4</v>
      </c>
    </row>
    <row r="10" spans="2:21" ht="18">
      <c r="B10" s="257" t="s">
        <v>126</v>
      </c>
      <c r="C10" s="255"/>
      <c r="D10" s="255"/>
      <c r="E10" s="255"/>
      <c r="F10" s="255"/>
      <c r="G10" s="255"/>
      <c r="H10" s="258"/>
      <c r="I10" s="383">
        <f>4000</f>
        <v>4000</v>
      </c>
      <c r="J10" s="384"/>
      <c r="K10" s="255" t="s">
        <v>316</v>
      </c>
      <c r="L10" s="255"/>
      <c r="M10" s="255"/>
      <c r="N10" s="255"/>
      <c r="O10" s="255"/>
      <c r="P10" s="255"/>
      <c r="Q10" s="255"/>
      <c r="R10" s="255"/>
      <c r="S10" s="255"/>
      <c r="T10" s="258"/>
      <c r="U10" s="328"/>
    </row>
    <row r="11" spans="2:21" ht="15.75">
      <c r="B11" s="257" t="s">
        <v>322</v>
      </c>
      <c r="C11" s="255"/>
      <c r="D11" s="255"/>
      <c r="E11" s="255"/>
      <c r="F11" s="255"/>
      <c r="G11" s="255"/>
      <c r="H11" s="243" t="s">
        <v>326</v>
      </c>
      <c r="I11" s="383">
        <v>20</v>
      </c>
      <c r="J11" s="384"/>
      <c r="K11" s="255"/>
      <c r="L11" s="255"/>
      <c r="M11" s="259"/>
      <c r="N11" s="259"/>
      <c r="O11" s="405" t="s">
        <v>13</v>
      </c>
      <c r="P11" s="389"/>
      <c r="Q11" s="383">
        <v>13.33</v>
      </c>
      <c r="R11" s="384"/>
      <c r="S11" s="260"/>
      <c r="T11" s="258"/>
      <c r="U11" s="328"/>
    </row>
    <row r="12" spans="2:36" ht="18">
      <c r="B12" s="248"/>
      <c r="C12" s="243"/>
      <c r="D12" s="243"/>
      <c r="E12" s="243"/>
      <c r="F12" s="243"/>
      <c r="G12" s="243"/>
      <c r="H12" s="243" t="s">
        <v>327</v>
      </c>
      <c r="I12" s="383">
        <v>25000</v>
      </c>
      <c r="J12" s="384"/>
      <c r="K12" s="239" t="s">
        <v>317</v>
      </c>
      <c r="L12" s="239"/>
      <c r="M12" s="259"/>
      <c r="N12" s="259"/>
      <c r="O12" s="390" t="s">
        <v>318</v>
      </c>
      <c r="P12" s="391"/>
      <c r="Q12" s="383">
        <v>7</v>
      </c>
      <c r="R12" s="384"/>
      <c r="S12" s="402" t="s">
        <v>319</v>
      </c>
      <c r="T12" s="403"/>
      <c r="U12" s="329"/>
      <c r="AA12" s="437" t="s">
        <v>357</v>
      </c>
      <c r="AB12" s="437"/>
      <c r="AC12" s="437">
        <f>AF26</f>
        <v>6</v>
      </c>
      <c r="AF12" s="449">
        <f>AI26/1000</f>
        <v>1.5</v>
      </c>
      <c r="AG12" s="449"/>
      <c r="AH12" s="448">
        <f>M5-2*AH9</f>
        <v>1.6000000000000005</v>
      </c>
      <c r="AI12" s="217"/>
      <c r="AJ12" s="215">
        <f>AF9+AF12+AF17</f>
        <v>4.4</v>
      </c>
    </row>
    <row r="13" spans="2:35" ht="18">
      <c r="B13" s="257" t="s">
        <v>323</v>
      </c>
      <c r="C13" s="255"/>
      <c r="D13" s="255"/>
      <c r="E13" s="255"/>
      <c r="F13" s="255"/>
      <c r="G13" s="255"/>
      <c r="H13" s="243" t="s">
        <v>328</v>
      </c>
      <c r="I13" s="383">
        <v>415</v>
      </c>
      <c r="J13" s="384"/>
      <c r="K13" s="255"/>
      <c r="L13" s="255"/>
      <c r="M13" s="259"/>
      <c r="N13" s="259"/>
      <c r="O13" s="390" t="s">
        <v>320</v>
      </c>
      <c r="P13" s="391"/>
      <c r="Q13" s="383">
        <v>230</v>
      </c>
      <c r="R13" s="384"/>
      <c r="S13" s="402" t="s">
        <v>319</v>
      </c>
      <c r="T13" s="403"/>
      <c r="U13" s="329"/>
      <c r="V13" s="376">
        <f>M5</f>
        <v>4.4</v>
      </c>
      <c r="W13" s="377"/>
      <c r="AA13" s="437"/>
      <c r="AB13" s="437"/>
      <c r="AC13" s="437"/>
      <c r="AF13" s="449"/>
      <c r="AG13" s="449"/>
      <c r="AH13" s="448"/>
      <c r="AI13" s="217"/>
    </row>
    <row r="14" spans="2:29" ht="15.75">
      <c r="B14" s="257" t="str">
        <f>Design!B8</f>
        <v>Nominal cover </v>
      </c>
      <c r="C14" s="255"/>
      <c r="D14" s="255"/>
      <c r="E14" s="255"/>
      <c r="F14" s="255"/>
      <c r="G14" s="239"/>
      <c r="H14" s="239"/>
      <c r="I14" s="383">
        <v>25</v>
      </c>
      <c r="J14" s="384"/>
      <c r="K14" s="239" t="s">
        <v>20</v>
      </c>
      <c r="L14" s="239"/>
      <c r="M14" s="405" t="str">
        <f>Design!J8</f>
        <v>Effective cover </v>
      </c>
      <c r="N14" s="405"/>
      <c r="O14" s="405"/>
      <c r="P14" s="389"/>
      <c r="Q14" s="383">
        <v>30</v>
      </c>
      <c r="R14" s="384"/>
      <c r="S14" s="402" t="s">
        <v>20</v>
      </c>
      <c r="T14" s="403"/>
      <c r="U14" s="329"/>
      <c r="AA14" s="345" t="s">
        <v>356</v>
      </c>
      <c r="AB14" s="345"/>
      <c r="AC14" s="218">
        <f>AF28</f>
        <v>6</v>
      </c>
    </row>
    <row r="15" spans="2:29" ht="15">
      <c r="B15" s="343" t="s">
        <v>366</v>
      </c>
      <c r="C15" s="255"/>
      <c r="D15" s="255"/>
      <c r="E15" s="255"/>
      <c r="F15" s="255"/>
      <c r="G15" s="239"/>
      <c r="H15" s="239"/>
      <c r="I15" s="374">
        <v>80</v>
      </c>
      <c r="J15" s="375"/>
      <c r="K15" s="344" t="s">
        <v>20</v>
      </c>
      <c r="L15" s="239"/>
      <c r="M15" s="243"/>
      <c r="N15" s="243"/>
      <c r="O15" s="243"/>
      <c r="P15" s="243"/>
      <c r="Q15" s="260"/>
      <c r="R15" s="260"/>
      <c r="S15" s="239"/>
      <c r="T15" s="240"/>
      <c r="U15" s="329"/>
      <c r="AA15" s="208"/>
      <c r="AB15" s="208"/>
      <c r="AC15" s="218"/>
    </row>
    <row r="16" spans="2:29" ht="15">
      <c r="B16" s="343" t="s">
        <v>367</v>
      </c>
      <c r="C16" s="255"/>
      <c r="D16" s="255" t="s">
        <v>368</v>
      </c>
      <c r="E16" s="255"/>
      <c r="F16" s="255"/>
      <c r="G16" s="239"/>
      <c r="H16" s="239"/>
      <c r="I16" s="374">
        <v>200</v>
      </c>
      <c r="J16" s="375"/>
      <c r="K16" s="344" t="s">
        <v>20</v>
      </c>
      <c r="L16" s="239"/>
      <c r="M16" s="243"/>
      <c r="N16" s="243"/>
      <c r="O16" s="243"/>
      <c r="P16" s="243"/>
      <c r="Q16" s="260"/>
      <c r="R16" s="260"/>
      <c r="S16" s="239"/>
      <c r="T16" s="240"/>
      <c r="U16" s="329"/>
      <c r="AA16" s="208"/>
      <c r="AB16" s="208"/>
      <c r="AC16" s="218"/>
    </row>
    <row r="17" spans="2:35" ht="15.75">
      <c r="B17" s="262" t="s">
        <v>76</v>
      </c>
      <c r="C17" s="263"/>
      <c r="D17" s="263"/>
      <c r="E17" s="263"/>
      <c r="F17" s="263"/>
      <c r="G17" s="264"/>
      <c r="H17" s="264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8"/>
      <c r="U17" s="328"/>
      <c r="Z17" s="208" t="s">
        <v>6</v>
      </c>
      <c r="AE17" s="209" t="s">
        <v>115</v>
      </c>
      <c r="AF17" s="401">
        <f>AF9</f>
        <v>1.4500000000000002</v>
      </c>
      <c r="AG17" s="401"/>
      <c r="AH17" s="216">
        <f>AH9</f>
        <v>1.4</v>
      </c>
      <c r="AI17" s="219"/>
    </row>
    <row r="18" spans="2:21" ht="15.75">
      <c r="B18" s="248"/>
      <c r="C18" s="239" t="s">
        <v>324</v>
      </c>
      <c r="D18" s="239"/>
      <c r="E18" s="239"/>
      <c r="F18" s="239"/>
      <c r="G18" s="260"/>
      <c r="H18" s="260"/>
      <c r="I18" s="383">
        <v>20</v>
      </c>
      <c r="J18" s="384"/>
      <c r="K18" s="255" t="s">
        <v>321</v>
      </c>
      <c r="L18" s="255"/>
      <c r="M18" s="405" t="s">
        <v>346</v>
      </c>
      <c r="N18" s="405"/>
      <c r="O18" s="405"/>
      <c r="P18" s="389"/>
      <c r="Q18" s="385">
        <f>Design!P115</f>
        <v>4</v>
      </c>
      <c r="R18" s="386"/>
      <c r="S18" s="402" t="s">
        <v>80</v>
      </c>
      <c r="T18" s="403"/>
      <c r="U18" s="329"/>
    </row>
    <row r="19" spans="2:31" ht="15.75">
      <c r="B19" s="248"/>
      <c r="C19" s="239" t="s">
        <v>325</v>
      </c>
      <c r="D19" s="239"/>
      <c r="E19" s="239"/>
      <c r="F19" s="239"/>
      <c r="G19" s="260"/>
      <c r="H19" s="260"/>
      <c r="I19" s="383">
        <v>10</v>
      </c>
      <c r="J19" s="384"/>
      <c r="K19" s="255" t="s">
        <v>321</v>
      </c>
      <c r="L19" s="255"/>
      <c r="M19" s="405" t="s">
        <v>346</v>
      </c>
      <c r="N19" s="405"/>
      <c r="O19" s="405"/>
      <c r="P19" s="389"/>
      <c r="Q19" s="385">
        <f>2</f>
        <v>2</v>
      </c>
      <c r="R19" s="386"/>
      <c r="S19" s="402" t="s">
        <v>80</v>
      </c>
      <c r="T19" s="403"/>
      <c r="U19" s="329"/>
      <c r="AA19" s="400">
        <f>AI28/1000</f>
        <v>1.5</v>
      </c>
      <c r="AB19" s="400"/>
      <c r="AC19" s="400"/>
      <c r="AD19" s="400">
        <f>AD7</f>
        <v>1.4500000000000002</v>
      </c>
      <c r="AE19" s="401"/>
    </row>
    <row r="20" spans="2:30" ht="15.75">
      <c r="B20" s="248"/>
      <c r="C20" s="239" t="s">
        <v>329</v>
      </c>
      <c r="D20" s="239"/>
      <c r="E20" s="239"/>
      <c r="F20" s="239"/>
      <c r="G20" s="260"/>
      <c r="H20" s="260"/>
      <c r="I20" s="383">
        <v>10</v>
      </c>
      <c r="J20" s="384"/>
      <c r="K20" s="255" t="s">
        <v>321</v>
      </c>
      <c r="L20" s="255"/>
      <c r="M20" s="405" t="s">
        <v>330</v>
      </c>
      <c r="N20" s="405"/>
      <c r="O20" s="405"/>
      <c r="P20" s="389"/>
      <c r="Q20" s="385">
        <f>Design!H57</f>
        <v>250</v>
      </c>
      <c r="R20" s="386"/>
      <c r="S20" s="402" t="s">
        <v>20</v>
      </c>
      <c r="T20" s="403"/>
      <c r="U20" s="329"/>
      <c r="AC20" s="400">
        <f>AD19+AA19</f>
        <v>2.95</v>
      </c>
      <c r="AD20" s="401"/>
    </row>
    <row r="21" spans="2:28" ht="15.75">
      <c r="B21" s="248"/>
      <c r="C21" s="239" t="s">
        <v>77</v>
      </c>
      <c r="D21" s="260"/>
      <c r="E21" s="260"/>
      <c r="F21" s="260"/>
      <c r="G21" s="260"/>
      <c r="H21" s="260"/>
      <c r="I21" s="383">
        <v>10</v>
      </c>
      <c r="J21" s="384"/>
      <c r="K21" s="255" t="s">
        <v>321</v>
      </c>
      <c r="L21" s="255"/>
      <c r="M21" s="405" t="s">
        <v>330</v>
      </c>
      <c r="N21" s="405"/>
      <c r="O21" s="405"/>
      <c r="P21" s="389"/>
      <c r="Q21" s="385">
        <f>Design!L170</f>
        <v>90</v>
      </c>
      <c r="R21" s="386"/>
      <c r="S21" s="402" t="s">
        <v>20</v>
      </c>
      <c r="T21" s="403"/>
      <c r="U21" s="329"/>
      <c r="AA21" s="400">
        <f>I5</f>
        <v>5.2</v>
      </c>
      <c r="AB21" s="401"/>
    </row>
    <row r="22" spans="2:36" ht="15">
      <c r="B22" s="248"/>
      <c r="C22" s="239"/>
      <c r="D22" s="260"/>
      <c r="E22" s="260"/>
      <c r="F22" s="260"/>
      <c r="G22" s="260"/>
      <c r="H22" s="260"/>
      <c r="I22" s="265"/>
      <c r="J22" s="265"/>
      <c r="K22" s="255"/>
      <c r="L22" s="255"/>
      <c r="M22" s="255"/>
      <c r="N22" s="255"/>
      <c r="O22" s="255"/>
      <c r="P22" s="255"/>
      <c r="Q22" s="266"/>
      <c r="R22" s="266"/>
      <c r="S22" s="260"/>
      <c r="T22" s="267"/>
      <c r="U22" s="330"/>
      <c r="V22" s="227" t="s">
        <v>350</v>
      </c>
      <c r="W22" s="228"/>
      <c r="X22" s="228"/>
      <c r="Y22" s="228"/>
      <c r="Z22" s="350">
        <f>M6</f>
        <v>3600</v>
      </c>
      <c r="AA22" s="351"/>
      <c r="AB22" s="229" t="s">
        <v>2</v>
      </c>
      <c r="AC22" s="230">
        <f>M8</f>
        <v>160</v>
      </c>
      <c r="AD22" s="231" t="s">
        <v>0</v>
      </c>
      <c r="AE22" s="233">
        <f>ROUNDDOWN(Z22/AC22,)</f>
        <v>22</v>
      </c>
      <c r="AF22" s="234"/>
      <c r="AG22" s="408"/>
      <c r="AH22" s="404"/>
      <c r="AI22" s="450" t="s">
        <v>359</v>
      </c>
      <c r="AJ22" s="450" t="s">
        <v>360</v>
      </c>
    </row>
    <row r="23" spans="2:36" ht="15">
      <c r="B23" s="248"/>
      <c r="C23" s="260"/>
      <c r="D23" s="378">
        <f>X7</f>
        <v>1.5</v>
      </c>
      <c r="E23" s="378"/>
      <c r="F23" s="260"/>
      <c r="G23" s="260"/>
      <c r="H23" s="260"/>
      <c r="I23" s="260"/>
      <c r="J23" s="260"/>
      <c r="K23" s="378">
        <f>AA7</f>
        <v>2.25</v>
      </c>
      <c r="L23" s="407"/>
      <c r="M23" s="255"/>
      <c r="N23" s="255"/>
      <c r="O23" s="255"/>
      <c r="P23" s="255"/>
      <c r="Q23" s="378">
        <f>AD7</f>
        <v>1.4500000000000002</v>
      </c>
      <c r="R23" s="378"/>
      <c r="S23" s="255"/>
      <c r="T23" s="258"/>
      <c r="U23" s="328"/>
      <c r="V23" s="211" t="s">
        <v>352</v>
      </c>
      <c r="W23" s="212"/>
      <c r="X23" s="212"/>
      <c r="Y23" s="212"/>
      <c r="Z23" s="220" t="s">
        <v>0</v>
      </c>
      <c r="AA23" s="232">
        <f>AE22</f>
        <v>22</v>
      </c>
      <c r="AB23" s="226" t="s">
        <v>18</v>
      </c>
      <c r="AC23" s="221">
        <v>1</v>
      </c>
      <c r="AD23" s="225" t="s">
        <v>0</v>
      </c>
      <c r="AE23" s="222">
        <f>AA23-AC23</f>
        <v>21</v>
      </c>
      <c r="AF23" s="235"/>
      <c r="AG23" s="236"/>
      <c r="AH23" s="237"/>
      <c r="AI23" s="451"/>
      <c r="AJ23" s="451"/>
    </row>
    <row r="24" spans="2:36" ht="15">
      <c r="B24" s="387">
        <f>Design!D110</f>
        <v>230</v>
      </c>
      <c r="C24" s="327"/>
      <c r="D24" s="327"/>
      <c r="E24" s="327"/>
      <c r="F24" s="327"/>
      <c r="G24" s="260"/>
      <c r="H24" s="260"/>
      <c r="I24" s="260"/>
      <c r="J24" s="260"/>
      <c r="K24" s="255"/>
      <c r="L24" s="255"/>
      <c r="M24" s="255"/>
      <c r="N24" s="255"/>
      <c r="O24" s="255"/>
      <c r="P24" s="255"/>
      <c r="Q24" s="255"/>
      <c r="R24" s="255"/>
      <c r="S24" s="255"/>
      <c r="T24" s="258"/>
      <c r="U24" s="328"/>
      <c r="V24" s="348" t="s">
        <v>353</v>
      </c>
      <c r="W24" s="421"/>
      <c r="X24" s="421"/>
      <c r="Y24" s="421"/>
      <c r="Z24" s="421"/>
      <c r="AA24" s="431">
        <f>AA5*1000</f>
        <v>2400.0000000000005</v>
      </c>
      <c r="AB24" s="432"/>
      <c r="AC24" s="435" t="s">
        <v>351</v>
      </c>
      <c r="AD24" s="440">
        <f>M9</f>
        <v>250</v>
      </c>
      <c r="AE24" s="458" t="s">
        <v>0</v>
      </c>
      <c r="AF24" s="346">
        <f>ROUNDDOWN(AA24/AD24,)</f>
        <v>9</v>
      </c>
      <c r="AG24" s="377" t="s">
        <v>1</v>
      </c>
      <c r="AH24" s="346">
        <f>AD24</f>
        <v>250</v>
      </c>
      <c r="AI24" s="455">
        <f>AH24*AF24</f>
        <v>2250</v>
      </c>
      <c r="AJ24" s="452">
        <f>AI24/1000</f>
        <v>2.25</v>
      </c>
    </row>
    <row r="25" spans="2:36" ht="15">
      <c r="B25" s="388"/>
      <c r="C25" s="326"/>
      <c r="D25" s="326"/>
      <c r="E25" s="326"/>
      <c r="F25" s="326"/>
      <c r="G25" s="326"/>
      <c r="H25" s="249"/>
      <c r="I25" s="268" t="s">
        <v>311</v>
      </c>
      <c r="J25" s="269">
        <f>I19</f>
        <v>10</v>
      </c>
      <c r="K25" s="268" t="s">
        <v>340</v>
      </c>
      <c r="L25" s="268"/>
      <c r="M25" s="268"/>
      <c r="N25" s="268"/>
      <c r="O25" s="249"/>
      <c r="P25" s="249"/>
      <c r="Q25" s="249"/>
      <c r="R25" s="249"/>
      <c r="S25" s="249"/>
      <c r="T25" s="270"/>
      <c r="U25" s="331"/>
      <c r="V25" s="422"/>
      <c r="W25" s="423"/>
      <c r="X25" s="423"/>
      <c r="Y25" s="423"/>
      <c r="Z25" s="423"/>
      <c r="AA25" s="433"/>
      <c r="AB25" s="434"/>
      <c r="AC25" s="436"/>
      <c r="AD25" s="347"/>
      <c r="AE25" s="459"/>
      <c r="AF25" s="347"/>
      <c r="AG25" s="436"/>
      <c r="AH25" s="347"/>
      <c r="AI25" s="456"/>
      <c r="AJ25" s="453"/>
    </row>
    <row r="26" spans="2:36" ht="15">
      <c r="B26" s="248"/>
      <c r="C26" s="326"/>
      <c r="D26" s="249"/>
      <c r="E26" s="249"/>
      <c r="F26" s="249"/>
      <c r="G26" s="326"/>
      <c r="H26" s="326"/>
      <c r="I26" s="249"/>
      <c r="J26" s="249"/>
      <c r="K26" s="268" t="s">
        <v>341</v>
      </c>
      <c r="L26" s="249"/>
      <c r="M26" s="249"/>
      <c r="N26" s="249"/>
      <c r="O26" s="249"/>
      <c r="P26" s="249"/>
      <c r="Q26" s="249"/>
      <c r="R26" s="249"/>
      <c r="S26" s="249"/>
      <c r="T26" s="270"/>
      <c r="U26" s="331"/>
      <c r="V26" s="424" t="s">
        <v>354</v>
      </c>
      <c r="W26" s="425"/>
      <c r="X26" s="425"/>
      <c r="Y26" s="425"/>
      <c r="Z26" s="425"/>
      <c r="AA26" s="426">
        <f>AH12*1000</f>
        <v>1600.0000000000005</v>
      </c>
      <c r="AB26" s="427"/>
      <c r="AC26" s="377" t="s">
        <v>2</v>
      </c>
      <c r="AD26" s="346">
        <f>AD24</f>
        <v>250</v>
      </c>
      <c r="AE26" s="430" t="s">
        <v>0</v>
      </c>
      <c r="AF26" s="346">
        <f>ROUNDDOWN(AA26/AD26,)</f>
        <v>6</v>
      </c>
      <c r="AG26" s="377" t="s">
        <v>1</v>
      </c>
      <c r="AH26" s="346">
        <f>AD26</f>
        <v>250</v>
      </c>
      <c r="AI26" s="457">
        <f>AH26*AF26</f>
        <v>1500</v>
      </c>
      <c r="AJ26" s="454">
        <f>AI26/1000</f>
        <v>1.5</v>
      </c>
    </row>
    <row r="27" spans="2:36" ht="15">
      <c r="B27" s="248"/>
      <c r="C27" s="326"/>
      <c r="D27" s="249"/>
      <c r="E27" s="249"/>
      <c r="F27" s="249"/>
      <c r="G27" s="249"/>
      <c r="H27" s="326"/>
      <c r="I27" s="326"/>
      <c r="J27" s="249"/>
      <c r="K27" s="249"/>
      <c r="L27" s="241">
        <f>I20</f>
        <v>10</v>
      </c>
      <c r="M27" s="271" t="s">
        <v>342</v>
      </c>
      <c r="N27" s="272"/>
      <c r="O27" s="268"/>
      <c r="P27" s="249"/>
      <c r="Q27" s="249"/>
      <c r="R27" s="249"/>
      <c r="S27" s="249"/>
      <c r="T27" s="270"/>
      <c r="U27" s="331"/>
      <c r="V27" s="424"/>
      <c r="W27" s="425"/>
      <c r="X27" s="425"/>
      <c r="Y27" s="425"/>
      <c r="Z27" s="425"/>
      <c r="AA27" s="428"/>
      <c r="AB27" s="429"/>
      <c r="AC27" s="377"/>
      <c r="AD27" s="347"/>
      <c r="AE27" s="430"/>
      <c r="AF27" s="347"/>
      <c r="AG27" s="377"/>
      <c r="AH27" s="347"/>
      <c r="AI27" s="457"/>
      <c r="AJ27" s="453"/>
    </row>
    <row r="28" spans="2:36" ht="178.5">
      <c r="B28" s="248"/>
      <c r="C28" s="326"/>
      <c r="D28" s="249"/>
      <c r="E28" s="273">
        <f>ROUND((D23+K23+Q23/2)/3,1)</f>
        <v>1.5</v>
      </c>
      <c r="F28" s="249"/>
      <c r="G28" s="249"/>
      <c r="H28" s="249"/>
      <c r="I28" s="326"/>
      <c r="J28" s="326"/>
      <c r="K28" s="249"/>
      <c r="L28" s="274">
        <f>Q20</f>
        <v>250</v>
      </c>
      <c r="M28" s="275" t="s">
        <v>333</v>
      </c>
      <c r="N28" s="276"/>
      <c r="O28" s="268"/>
      <c r="P28" s="249"/>
      <c r="Q28" s="249"/>
      <c r="R28" s="249"/>
      <c r="S28" s="249"/>
      <c r="T28" s="270"/>
      <c r="U28" s="331"/>
      <c r="V28" s="348" t="s">
        <v>355</v>
      </c>
      <c r="W28" s="421"/>
      <c r="X28" s="421"/>
      <c r="Y28" s="421"/>
      <c r="Z28" s="421"/>
      <c r="AA28" s="443">
        <f>AE23</f>
        <v>21</v>
      </c>
      <c r="AB28" s="432"/>
      <c r="AC28" s="441" t="s">
        <v>18</v>
      </c>
      <c r="AD28" s="435">
        <f>AF24+AF26</f>
        <v>15</v>
      </c>
      <c r="AE28" s="441" t="s">
        <v>0</v>
      </c>
      <c r="AF28" s="442">
        <f>AA28-AD28</f>
        <v>6</v>
      </c>
      <c r="AG28" s="440" t="s">
        <v>1</v>
      </c>
      <c r="AH28" s="435">
        <v>250</v>
      </c>
      <c r="AI28" s="446">
        <f>AH28*AF28</f>
        <v>1500</v>
      </c>
      <c r="AJ28" s="444">
        <f>AI28/1000</f>
        <v>1.5</v>
      </c>
    </row>
    <row r="29" spans="2:36" ht="15">
      <c r="B29" s="248"/>
      <c r="C29" s="326"/>
      <c r="D29" s="254"/>
      <c r="E29" s="392" t="s">
        <v>339</v>
      </c>
      <c r="F29" s="393"/>
      <c r="G29" s="394"/>
      <c r="H29" s="249"/>
      <c r="I29" s="249"/>
      <c r="J29" s="326"/>
      <c r="K29" s="326"/>
      <c r="L29" s="249"/>
      <c r="M29" s="249"/>
      <c r="N29" s="249"/>
      <c r="O29" s="249"/>
      <c r="P29" s="249"/>
      <c r="Q29" s="249"/>
      <c r="R29" s="249"/>
      <c r="S29" s="249"/>
      <c r="T29" s="270"/>
      <c r="U29" s="331"/>
      <c r="V29" s="422"/>
      <c r="W29" s="423"/>
      <c r="X29" s="423"/>
      <c r="Y29" s="423"/>
      <c r="Z29" s="423"/>
      <c r="AA29" s="433"/>
      <c r="AB29" s="434"/>
      <c r="AC29" s="347"/>
      <c r="AD29" s="436"/>
      <c r="AE29" s="347"/>
      <c r="AF29" s="436"/>
      <c r="AG29" s="347"/>
      <c r="AH29" s="436"/>
      <c r="AI29" s="447"/>
      <c r="AJ29" s="445"/>
    </row>
    <row r="30" spans="2:33" ht="15">
      <c r="B30" s="248"/>
      <c r="C30" s="326"/>
      <c r="D30" s="254"/>
      <c r="E30" s="280">
        <f>I21</f>
        <v>10</v>
      </c>
      <c r="F30" s="268" t="s">
        <v>338</v>
      </c>
      <c r="G30" s="281"/>
      <c r="H30" s="249"/>
      <c r="I30" s="249"/>
      <c r="J30" s="249"/>
      <c r="K30" s="326"/>
      <c r="L30" s="326"/>
      <c r="M30" s="282">
        <f>M9</f>
        <v>250</v>
      </c>
      <c r="N30" s="249"/>
      <c r="O30" s="249"/>
      <c r="P30" s="249"/>
      <c r="Q30" s="249"/>
      <c r="R30" s="249"/>
      <c r="S30" s="249"/>
      <c r="T30" s="270"/>
      <c r="U30" s="331"/>
      <c r="V30" s="352"/>
      <c r="W30" s="353"/>
      <c r="X30" s="353"/>
      <c r="Y30" s="353"/>
      <c r="Z30" s="353"/>
      <c r="AA30" s="439"/>
      <c r="AB30" s="437"/>
      <c r="AC30" s="437"/>
      <c r="AD30" s="438"/>
      <c r="AE30" s="437"/>
      <c r="AF30" s="437"/>
      <c r="AG30" s="401"/>
    </row>
    <row r="31" spans="2:33" ht="15">
      <c r="B31" s="248"/>
      <c r="C31" s="326"/>
      <c r="D31" s="254"/>
      <c r="E31" s="274">
        <f>Q21</f>
        <v>90</v>
      </c>
      <c r="F31" s="275" t="s">
        <v>333</v>
      </c>
      <c r="G31" s="276"/>
      <c r="H31" s="249"/>
      <c r="I31" s="254"/>
      <c r="J31" s="254"/>
      <c r="K31" s="254"/>
      <c r="L31" s="326"/>
      <c r="M31" s="326"/>
      <c r="N31" s="282">
        <f>M8</f>
        <v>160</v>
      </c>
      <c r="O31" s="249"/>
      <c r="P31" s="249"/>
      <c r="Q31" s="249"/>
      <c r="R31" s="283">
        <f>I20</f>
        <v>10</v>
      </c>
      <c r="S31" s="271" t="s">
        <v>342</v>
      </c>
      <c r="T31" s="272"/>
      <c r="U31" s="332"/>
      <c r="V31" s="352"/>
      <c r="W31" s="353"/>
      <c r="X31" s="353"/>
      <c r="Y31" s="353"/>
      <c r="Z31" s="353"/>
      <c r="AA31" s="439"/>
      <c r="AB31" s="437"/>
      <c r="AC31" s="437"/>
      <c r="AD31" s="437"/>
      <c r="AE31" s="437"/>
      <c r="AF31" s="437"/>
      <c r="AG31" s="401"/>
    </row>
    <row r="32" spans="2:21" ht="15">
      <c r="B32" s="248"/>
      <c r="C32" s="249"/>
      <c r="D32" s="249"/>
      <c r="E32" s="409"/>
      <c r="F32" s="409"/>
      <c r="G32" s="409"/>
      <c r="H32" s="249"/>
      <c r="I32" s="392" t="s">
        <v>339</v>
      </c>
      <c r="J32" s="393"/>
      <c r="K32" s="394"/>
      <c r="L32" s="249"/>
      <c r="M32" s="326"/>
      <c r="N32" s="326"/>
      <c r="O32" s="249"/>
      <c r="P32" s="249"/>
      <c r="Q32" s="249"/>
      <c r="R32" s="287">
        <f>Q20</f>
        <v>250</v>
      </c>
      <c r="S32" s="275" t="s">
        <v>333</v>
      </c>
      <c r="T32" s="276"/>
      <c r="U32" s="332"/>
    </row>
    <row r="33" spans="2:21" ht="15">
      <c r="B33" s="248"/>
      <c r="C33" s="249"/>
      <c r="D33" s="249"/>
      <c r="E33" s="249"/>
      <c r="F33" s="249"/>
      <c r="G33" s="249"/>
      <c r="H33" s="249"/>
      <c r="I33" s="280">
        <f>E30</f>
        <v>10</v>
      </c>
      <c r="J33" s="268" t="s">
        <v>338</v>
      </c>
      <c r="K33" s="281"/>
      <c r="L33" s="249"/>
      <c r="M33" s="249"/>
      <c r="N33" s="326"/>
      <c r="O33" s="326"/>
      <c r="P33" s="254"/>
      <c r="Q33" s="288" t="s">
        <v>343</v>
      </c>
      <c r="R33" s="249"/>
      <c r="S33" s="249"/>
      <c r="T33" s="270"/>
      <c r="U33" s="331"/>
    </row>
    <row r="34" spans="2:21" ht="15">
      <c r="B34" s="248"/>
      <c r="C34" s="249"/>
      <c r="D34" s="249"/>
      <c r="E34" s="249"/>
      <c r="F34" s="249"/>
      <c r="G34" s="249"/>
      <c r="H34" s="249"/>
      <c r="I34" s="289">
        <f>2*E31</f>
        <v>180</v>
      </c>
      <c r="J34" s="275" t="s">
        <v>333</v>
      </c>
      <c r="K34" s="276"/>
      <c r="L34" s="249"/>
      <c r="M34" s="249"/>
      <c r="N34" s="249"/>
      <c r="O34" s="326"/>
      <c r="P34" s="326"/>
      <c r="Q34" s="326"/>
      <c r="R34" s="326"/>
      <c r="S34" s="326"/>
      <c r="T34" s="290">
        <f>Design!J21</f>
        <v>80</v>
      </c>
      <c r="U34" s="333"/>
    </row>
    <row r="35" spans="2:21" ht="15">
      <c r="B35" s="248"/>
      <c r="C35" s="249"/>
      <c r="D35" s="249"/>
      <c r="E35" s="249"/>
      <c r="F35" s="249"/>
      <c r="G35" s="249"/>
      <c r="H35" s="249"/>
      <c r="I35" s="409" t="s">
        <v>362</v>
      </c>
      <c r="J35" s="409"/>
      <c r="K35" s="409"/>
      <c r="L35" s="249"/>
      <c r="M35" s="249"/>
      <c r="N35" s="249"/>
      <c r="O35" s="249"/>
      <c r="P35" s="326"/>
      <c r="Q35" s="326"/>
      <c r="R35" s="326"/>
      <c r="S35" s="300" t="s">
        <v>344</v>
      </c>
      <c r="T35" s="301"/>
      <c r="U35" s="334"/>
    </row>
    <row r="36" spans="2:21" ht="15">
      <c r="B36" s="248"/>
      <c r="C36" s="249"/>
      <c r="D36" s="249"/>
      <c r="E36" s="249"/>
      <c r="F36" s="249"/>
      <c r="G36" s="249"/>
      <c r="H36" s="249"/>
      <c r="I36" s="21"/>
      <c r="J36" s="249"/>
      <c r="K36" s="249"/>
      <c r="L36" s="249"/>
      <c r="M36" s="249"/>
      <c r="N36" s="254"/>
      <c r="O36" s="273">
        <f>E28</f>
        <v>1.5</v>
      </c>
      <c r="P36" s="254"/>
      <c r="Q36" s="249"/>
      <c r="R36" s="326"/>
      <c r="S36" s="302" t="s">
        <v>345</v>
      </c>
      <c r="T36" s="298"/>
      <c r="U36" s="331"/>
    </row>
    <row r="37" spans="2:21" ht="15">
      <c r="B37" s="248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392" t="s">
        <v>339</v>
      </c>
      <c r="O37" s="393"/>
      <c r="P37" s="394"/>
      <c r="Q37" s="249"/>
      <c r="R37" s="326"/>
      <c r="S37" s="249"/>
      <c r="T37" s="270"/>
      <c r="U37" s="331"/>
    </row>
    <row r="38" spans="2:21" ht="15">
      <c r="B38" s="248"/>
      <c r="C38" s="249"/>
      <c r="D38" s="249"/>
      <c r="E38" s="249"/>
      <c r="F38" s="249"/>
      <c r="G38" s="249"/>
      <c r="H38" s="249"/>
      <c r="I38" s="303" t="s">
        <v>336</v>
      </c>
      <c r="J38" s="249"/>
      <c r="K38" s="249"/>
      <c r="L38" s="249"/>
      <c r="M38" s="249"/>
      <c r="N38" s="280">
        <f>I33</f>
        <v>10</v>
      </c>
      <c r="O38" s="268" t="s">
        <v>338</v>
      </c>
      <c r="P38" s="281"/>
      <c r="Q38" s="249"/>
      <c r="R38" s="326"/>
      <c r="S38" s="249"/>
      <c r="T38" s="270"/>
      <c r="U38" s="331"/>
    </row>
    <row r="39" spans="2:21" ht="15">
      <c r="B39" s="248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74">
        <f>E31</f>
        <v>90</v>
      </c>
      <c r="O39" s="275" t="s">
        <v>333</v>
      </c>
      <c r="P39" s="276"/>
      <c r="Q39" s="249"/>
      <c r="R39" s="326"/>
      <c r="S39" s="249"/>
      <c r="T39" s="270"/>
      <c r="U39" s="331"/>
    </row>
    <row r="40" spans="2:21" ht="15">
      <c r="B40" s="248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38"/>
      <c r="O40" s="268"/>
      <c r="P40" s="268"/>
      <c r="Q40" s="249"/>
      <c r="R40" s="285"/>
      <c r="S40" s="249"/>
      <c r="T40" s="270"/>
      <c r="U40" s="331"/>
    </row>
    <row r="41" spans="2:21" ht="15">
      <c r="B41" s="248"/>
      <c r="C41" s="249"/>
      <c r="D41" s="249"/>
      <c r="E41" s="249"/>
      <c r="F41" s="249"/>
      <c r="G41" s="305">
        <f>I20</f>
        <v>10</v>
      </c>
      <c r="H41" s="306" t="s">
        <v>334</v>
      </c>
      <c r="I41" s="306"/>
      <c r="J41" s="307">
        <f>Q20</f>
        <v>250</v>
      </c>
      <c r="K41" s="306" t="s">
        <v>333</v>
      </c>
      <c r="L41" s="308"/>
      <c r="M41" s="268"/>
      <c r="N41" s="254"/>
      <c r="O41" s="254"/>
      <c r="P41" s="254"/>
      <c r="Q41" s="249"/>
      <c r="R41" s="249"/>
      <c r="S41" s="249"/>
      <c r="T41" s="270"/>
      <c r="U41" s="331"/>
    </row>
    <row r="42" spans="2:21" ht="15">
      <c r="B42" s="248"/>
      <c r="C42" s="249"/>
      <c r="D42" s="249"/>
      <c r="E42" s="249"/>
      <c r="F42" s="249"/>
      <c r="G42" s="249"/>
      <c r="H42" s="249"/>
      <c r="I42" s="249"/>
      <c r="J42" s="249"/>
      <c r="K42" s="372">
        <f>Q23*1000</f>
        <v>1450.0000000000002</v>
      </c>
      <c r="L42" s="372"/>
      <c r="M42" s="249"/>
      <c r="N42" s="249"/>
      <c r="O42" s="249"/>
      <c r="P42" s="249"/>
      <c r="Q42" s="249"/>
      <c r="R42" s="249"/>
      <c r="S42" s="249"/>
      <c r="T42" s="270"/>
      <c r="U42" s="331"/>
    </row>
    <row r="43" spans="2:21" ht="15">
      <c r="B43" s="248"/>
      <c r="C43" s="249"/>
      <c r="D43" s="249"/>
      <c r="E43" s="249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407">
        <f>T34</f>
        <v>80</v>
      </c>
      <c r="R43" s="407" t="s">
        <v>20</v>
      </c>
      <c r="S43" s="249"/>
      <c r="T43" s="270"/>
      <c r="U43" s="331"/>
    </row>
    <row r="44" spans="2:21" ht="15">
      <c r="B44" s="248"/>
      <c r="C44" s="249"/>
      <c r="D44" s="249"/>
      <c r="E44" s="249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407"/>
      <c r="R44" s="407"/>
      <c r="S44" s="249"/>
      <c r="T44" s="270"/>
      <c r="U44" s="331"/>
    </row>
    <row r="45" spans="2:21" ht="15">
      <c r="B45" s="261"/>
      <c r="C45" s="254"/>
      <c r="D45" s="254"/>
      <c r="E45" s="249"/>
      <c r="F45" s="249"/>
      <c r="G45" s="21"/>
      <c r="H45" s="21"/>
      <c r="I45" s="21"/>
      <c r="J45" s="326"/>
      <c r="K45" s="326"/>
      <c r="L45" s="326"/>
      <c r="M45" s="292" t="s">
        <v>311</v>
      </c>
      <c r="N45" s="291">
        <f>I19</f>
        <v>10</v>
      </c>
      <c r="O45" s="293" t="s">
        <v>361</v>
      </c>
      <c r="P45" s="268"/>
      <c r="Q45" s="249"/>
      <c r="R45" s="249"/>
      <c r="S45" s="249"/>
      <c r="T45" s="270"/>
      <c r="U45" s="331"/>
    </row>
    <row r="46" spans="2:21" ht="15">
      <c r="B46" s="305">
        <f>I21</f>
        <v>10</v>
      </c>
      <c r="C46" s="309" t="s">
        <v>334</v>
      </c>
      <c r="D46" s="310"/>
      <c r="E46" s="311">
        <f>Q21</f>
        <v>90</v>
      </c>
      <c r="F46" s="309" t="s">
        <v>333</v>
      </c>
      <c r="G46" s="312"/>
      <c r="H46" s="21"/>
      <c r="I46" s="21"/>
      <c r="J46" s="326"/>
      <c r="K46" s="326"/>
      <c r="L46" s="326"/>
      <c r="M46" s="373" t="s">
        <v>335</v>
      </c>
      <c r="N46" s="354"/>
      <c r="O46" s="349"/>
      <c r="P46" s="268"/>
      <c r="Q46" s="249"/>
      <c r="R46" s="249"/>
      <c r="S46" s="249"/>
      <c r="T46" s="270"/>
      <c r="U46" s="331"/>
    </row>
    <row r="47" spans="2:21" ht="15">
      <c r="B47" s="248"/>
      <c r="C47" s="249"/>
      <c r="D47" s="249"/>
      <c r="E47" s="249"/>
      <c r="F47" s="249"/>
      <c r="G47" s="21"/>
      <c r="H47" s="21"/>
      <c r="I47" s="21"/>
      <c r="J47" s="326"/>
      <c r="K47" s="326"/>
      <c r="L47" s="326"/>
      <c r="M47" s="249"/>
      <c r="N47" s="249"/>
      <c r="O47" s="249"/>
      <c r="P47" s="249"/>
      <c r="Q47" s="249"/>
      <c r="R47" s="249"/>
      <c r="S47" s="249"/>
      <c r="T47" s="270"/>
      <c r="U47" s="331"/>
    </row>
    <row r="48" spans="2:21" ht="15">
      <c r="B48" s="241">
        <f>N38</f>
        <v>10</v>
      </c>
      <c r="C48" s="271" t="s">
        <v>338</v>
      </c>
      <c r="D48" s="271"/>
      <c r="E48" s="314">
        <f>I34</f>
        <v>180</v>
      </c>
      <c r="F48" s="271" t="s">
        <v>333</v>
      </c>
      <c r="G48" s="272"/>
      <c r="H48" s="21"/>
      <c r="I48" s="21"/>
      <c r="J48" s="326"/>
      <c r="K48" s="326"/>
      <c r="L48" s="326"/>
      <c r="M48" s="241">
        <f>Design!H116</f>
        <v>4</v>
      </c>
      <c r="N48" s="291">
        <f>-Design!C113</f>
        <v>-20</v>
      </c>
      <c r="O48" s="294" t="s">
        <v>361</v>
      </c>
      <c r="P48" s="249"/>
      <c r="Q48" s="249"/>
      <c r="R48" s="249"/>
      <c r="S48" s="249"/>
      <c r="T48" s="270"/>
      <c r="U48" s="331"/>
    </row>
    <row r="49" spans="2:21" ht="15">
      <c r="B49" s="410" t="s">
        <v>339</v>
      </c>
      <c r="C49" s="411"/>
      <c r="D49" s="411"/>
      <c r="E49" s="411"/>
      <c r="F49" s="411"/>
      <c r="G49" s="412"/>
      <c r="H49" s="21"/>
      <c r="I49" s="21"/>
      <c r="J49" s="326"/>
      <c r="K49" s="326"/>
      <c r="L49" s="326"/>
      <c r="M49" s="373" t="s">
        <v>337</v>
      </c>
      <c r="N49" s="354"/>
      <c r="O49" s="349"/>
      <c r="P49" s="249"/>
      <c r="Q49" s="249"/>
      <c r="R49" s="249"/>
      <c r="S49" s="249"/>
      <c r="T49" s="270"/>
      <c r="U49" s="331"/>
    </row>
    <row r="50" spans="2:21" ht="15">
      <c r="B50" s="315"/>
      <c r="C50" s="313"/>
      <c r="D50" s="313"/>
      <c r="E50" s="249"/>
      <c r="F50" s="249"/>
      <c r="G50" s="249"/>
      <c r="H50" s="249"/>
      <c r="I50" s="249"/>
      <c r="J50" s="249"/>
      <c r="K50" s="242">
        <f>Design!H71</f>
        <v>200</v>
      </c>
      <c r="L50" s="249"/>
      <c r="M50" s="249"/>
      <c r="N50" s="249"/>
      <c r="O50" s="249"/>
      <c r="P50" s="249"/>
      <c r="Q50" s="249"/>
      <c r="R50" s="249"/>
      <c r="S50" s="249"/>
      <c r="T50" s="270"/>
      <c r="U50" s="331"/>
    </row>
    <row r="51" spans="2:21" ht="15">
      <c r="B51" s="295" t="s">
        <v>313</v>
      </c>
      <c r="C51" s="313"/>
      <c r="D51" s="313"/>
      <c r="E51" s="249"/>
      <c r="F51" s="249"/>
      <c r="G51" s="249"/>
      <c r="H51" s="249"/>
      <c r="I51" s="317" t="s">
        <v>332</v>
      </c>
      <c r="J51" s="249"/>
      <c r="K51" s="242"/>
      <c r="L51" s="249"/>
      <c r="M51" s="249"/>
      <c r="N51" s="249"/>
      <c r="O51" s="249"/>
      <c r="P51" s="249"/>
      <c r="Q51" s="249"/>
      <c r="R51" s="249"/>
      <c r="S51" s="249"/>
      <c r="T51" s="270"/>
      <c r="U51" s="331"/>
    </row>
    <row r="52" spans="2:21" ht="15"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</row>
    <row r="53" spans="2:21" ht="15"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</row>
    <row r="54" spans="2:21" ht="15"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</row>
    <row r="55" spans="2:21" ht="15"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</row>
    <row r="56" spans="2:21" ht="15"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</row>
    <row r="57" spans="2:21" ht="15"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</row>
    <row r="58" spans="2:21" ht="15"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</row>
    <row r="59" spans="2:21" ht="15"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</row>
    <row r="60" spans="2:21" ht="15"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</row>
    <row r="61" spans="2:21" ht="15"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</row>
    <row r="62" spans="2:21" ht="15"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</row>
    <row r="63" spans="2:21" ht="15"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</row>
    <row r="64" spans="2:21" ht="15"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</row>
    <row r="65" spans="2:21" ht="15"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</row>
    <row r="66" spans="2:21" ht="15"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</row>
    <row r="67" spans="2:21" ht="15"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</row>
  </sheetData>
  <sheetProtection/>
  <protectedRanges>
    <protectedRange sqref="F4:U4 M5:N5 I5:J16 Q11:R16 I18:J21" name="Range1"/>
  </protectedRanges>
  <mergeCells count="126">
    <mergeCell ref="AJ22:AJ23"/>
    <mergeCell ref="AJ24:AJ25"/>
    <mergeCell ref="AJ26:AJ27"/>
    <mergeCell ref="X7:Y7"/>
    <mergeCell ref="AH24:AH25"/>
    <mergeCell ref="AI24:AI25"/>
    <mergeCell ref="AG26:AG27"/>
    <mergeCell ref="AH26:AH27"/>
    <mergeCell ref="AI26:AI27"/>
    <mergeCell ref="AE24:AE25"/>
    <mergeCell ref="AJ28:AJ29"/>
    <mergeCell ref="AH28:AH29"/>
    <mergeCell ref="AI28:AI29"/>
    <mergeCell ref="AA7:AB7"/>
    <mergeCell ref="AH12:AH13"/>
    <mergeCell ref="AF12:AG13"/>
    <mergeCell ref="AF17:AG17"/>
    <mergeCell ref="AF9:AG9"/>
    <mergeCell ref="AC20:AD20"/>
    <mergeCell ref="AI22:AI23"/>
    <mergeCell ref="AG30:AG31"/>
    <mergeCell ref="AA12:AB13"/>
    <mergeCell ref="AC12:AC13"/>
    <mergeCell ref="AA14:AB14"/>
    <mergeCell ref="AG24:AG25"/>
    <mergeCell ref="AG28:AG29"/>
    <mergeCell ref="AF28:AF29"/>
    <mergeCell ref="AA28:AB29"/>
    <mergeCell ref="AE28:AE29"/>
    <mergeCell ref="AE30:AF31"/>
    <mergeCell ref="AD24:AD25"/>
    <mergeCell ref="V28:Z29"/>
    <mergeCell ref="AC28:AC29"/>
    <mergeCell ref="AD28:AD29"/>
    <mergeCell ref="AC30:AC31"/>
    <mergeCell ref="AD30:AD31"/>
    <mergeCell ref="AA30:AA31"/>
    <mergeCell ref="AB30:AB31"/>
    <mergeCell ref="AF24:AF25"/>
    <mergeCell ref="V24:Z25"/>
    <mergeCell ref="V26:Z27"/>
    <mergeCell ref="AA26:AB27"/>
    <mergeCell ref="AC26:AC27"/>
    <mergeCell ref="AD26:AD27"/>
    <mergeCell ref="AE26:AE27"/>
    <mergeCell ref="AF26:AF27"/>
    <mergeCell ref="AA24:AB25"/>
    <mergeCell ref="AC24:AC25"/>
    <mergeCell ref="I21:J21"/>
    <mergeCell ref="S18:T18"/>
    <mergeCell ref="S19:T19"/>
    <mergeCell ref="Q18:R18"/>
    <mergeCell ref="Q19:R19"/>
    <mergeCell ref="Q21:R21"/>
    <mergeCell ref="Z6:AA6"/>
    <mergeCell ref="I18:J18"/>
    <mergeCell ref="I19:J19"/>
    <mergeCell ref="I20:J20"/>
    <mergeCell ref="M7:N7"/>
    <mergeCell ref="K23:L23"/>
    <mergeCell ref="N37:P37"/>
    <mergeCell ref="M19:P19"/>
    <mergeCell ref="Z22:AA22"/>
    <mergeCell ref="V30:Z31"/>
    <mergeCell ref="I35:K35"/>
    <mergeCell ref="I32:K32"/>
    <mergeCell ref="S20:T20"/>
    <mergeCell ref="AA21:AB21"/>
    <mergeCell ref="S21:T21"/>
    <mergeCell ref="Q43:Q44"/>
    <mergeCell ref="K42:L42"/>
    <mergeCell ref="M46:O46"/>
    <mergeCell ref="M49:O49"/>
    <mergeCell ref="B2:T2"/>
    <mergeCell ref="B1:T1"/>
    <mergeCell ref="I5:J5"/>
    <mergeCell ref="I7:J7"/>
    <mergeCell ref="B5:H5"/>
    <mergeCell ref="K5:L5"/>
    <mergeCell ref="I6:J6"/>
    <mergeCell ref="M6:N6"/>
    <mergeCell ref="F4:T4"/>
    <mergeCell ref="M5:N5"/>
    <mergeCell ref="B24:B25"/>
    <mergeCell ref="I11:J11"/>
    <mergeCell ref="Q11:R11"/>
    <mergeCell ref="I12:J12"/>
    <mergeCell ref="I13:J13"/>
    <mergeCell ref="I14:J14"/>
    <mergeCell ref="Q14:R14"/>
    <mergeCell ref="Q12:R12"/>
    <mergeCell ref="Q13:R13"/>
    <mergeCell ref="M18:P18"/>
    <mergeCell ref="D23:E23"/>
    <mergeCell ref="Q23:R23"/>
    <mergeCell ref="I8:J8"/>
    <mergeCell ref="I9:J9"/>
    <mergeCell ref="M8:N8"/>
    <mergeCell ref="M9:N9"/>
    <mergeCell ref="I10:J10"/>
    <mergeCell ref="Q20:R20"/>
    <mergeCell ref="M20:P20"/>
    <mergeCell ref="M21:P21"/>
    <mergeCell ref="AD7:AE7"/>
    <mergeCell ref="AA19:AC19"/>
    <mergeCell ref="S12:T12"/>
    <mergeCell ref="I15:J15"/>
    <mergeCell ref="I16:J16"/>
    <mergeCell ref="S13:T13"/>
    <mergeCell ref="S14:T14"/>
    <mergeCell ref="V13:W13"/>
    <mergeCell ref="AD19:AE19"/>
    <mergeCell ref="X2:AE2"/>
    <mergeCell ref="X5:Y5"/>
    <mergeCell ref="AD5:AE5"/>
    <mergeCell ref="AA5:AB5"/>
    <mergeCell ref="E32:G32"/>
    <mergeCell ref="B49:G49"/>
    <mergeCell ref="AF3:AK5"/>
    <mergeCell ref="R43:R44"/>
    <mergeCell ref="AG22:AH22"/>
    <mergeCell ref="M14:P14"/>
    <mergeCell ref="O11:P11"/>
    <mergeCell ref="O12:P12"/>
    <mergeCell ref="O13:P13"/>
    <mergeCell ref="E29:G29"/>
  </mergeCells>
  <hyperlinks>
    <hyperlink ref="B51" r:id="rId1" display="pk_nandwana@yahoo.co.in"/>
  </hyperlinks>
  <printOptions/>
  <pageMargins left="0.75" right="0.75" top="0.75" bottom="0.5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A229"/>
  <sheetViews>
    <sheetView showGridLines="0" zoomScalePageLayoutView="0" workbookViewId="0" topLeftCell="A1">
      <selection activeCell="H51" sqref="H51"/>
    </sheetView>
  </sheetViews>
  <sheetFormatPr defaultColWidth="9.140625" defaultRowHeight="12.75"/>
  <cols>
    <col min="1" max="1" width="2.00390625" style="0" customWidth="1"/>
    <col min="2" max="2" width="15.140625" style="0" customWidth="1"/>
    <col min="3" max="3" width="2.7109375" style="0" customWidth="1"/>
    <col min="4" max="4" width="6.421875" style="0" customWidth="1"/>
    <col min="5" max="5" width="4.7109375" style="0" customWidth="1"/>
    <col min="6" max="6" width="5.8515625" style="0" customWidth="1"/>
    <col min="7" max="7" width="3.28125" style="0" customWidth="1"/>
    <col min="8" max="8" width="6.140625" style="0" customWidth="1"/>
    <col min="9" max="9" width="3.140625" style="0" customWidth="1"/>
    <col min="10" max="10" width="5.7109375" style="0" customWidth="1"/>
    <col min="11" max="11" width="2.8515625" style="0" customWidth="1"/>
    <col min="12" max="12" width="5.8515625" style="0" customWidth="1"/>
    <col min="13" max="13" width="2.57421875" style="0" customWidth="1"/>
    <col min="14" max="14" width="5.7109375" style="0" customWidth="1"/>
    <col min="15" max="15" width="2.28125" style="0" customWidth="1"/>
    <col min="16" max="16" width="4.8515625" style="0" customWidth="1"/>
    <col min="17" max="17" width="2.140625" style="0" customWidth="1"/>
    <col min="18" max="18" width="5.421875" style="0" customWidth="1"/>
    <col min="19" max="19" width="4.421875" style="0" customWidth="1"/>
    <col min="21" max="21" width="6.00390625" style="0" customWidth="1"/>
    <col min="22" max="22" width="3.28125" style="0" customWidth="1"/>
    <col min="23" max="23" width="5.57421875" style="0" customWidth="1"/>
    <col min="24" max="25" width="5.7109375" style="0" customWidth="1"/>
    <col min="26" max="27" width="4.8515625" style="0" customWidth="1"/>
    <col min="28" max="28" width="5.7109375" style="0" customWidth="1"/>
    <col min="29" max="29" width="5.421875" style="0" customWidth="1"/>
    <col min="30" max="30" width="3.57421875" style="0" customWidth="1"/>
    <col min="31" max="31" width="5.8515625" style="0" customWidth="1"/>
    <col min="32" max="32" width="3.57421875" style="0" customWidth="1"/>
  </cols>
  <sheetData>
    <row r="1" spans="1:20" ht="12.75">
      <c r="A1" s="13">
        <v>15</v>
      </c>
      <c r="B1" s="13">
        <v>115</v>
      </c>
      <c r="C1" s="13">
        <v>20</v>
      </c>
      <c r="D1" s="13">
        <v>45</v>
      </c>
      <c r="E1" s="13">
        <v>33</v>
      </c>
      <c r="F1" s="13">
        <v>44</v>
      </c>
      <c r="G1" s="13">
        <v>18</v>
      </c>
      <c r="H1" s="13">
        <v>40</v>
      </c>
      <c r="I1" s="13">
        <v>20</v>
      </c>
      <c r="J1" s="13">
        <v>41</v>
      </c>
      <c r="K1" s="13">
        <v>20</v>
      </c>
      <c r="L1" s="13">
        <v>40</v>
      </c>
      <c r="M1" s="13">
        <v>18</v>
      </c>
      <c r="N1" s="13">
        <v>40</v>
      </c>
      <c r="O1" s="13">
        <v>16</v>
      </c>
      <c r="P1" s="13">
        <v>34</v>
      </c>
      <c r="Q1" s="13">
        <v>16</v>
      </c>
      <c r="R1" s="13">
        <v>34</v>
      </c>
      <c r="S1" s="13">
        <v>26</v>
      </c>
      <c r="T1" s="13"/>
    </row>
    <row r="2" spans="1:19" ht="15.75">
      <c r="A2" s="516" t="str">
        <f>'DATA sheet'!B2</f>
        <v>DESIGN  OF  STAIR  CASE WITH CENTRAL STRINGER BEAM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</row>
    <row r="3" spans="1:9" ht="12.75">
      <c r="A3" s="1"/>
      <c r="B3" s="1"/>
      <c r="C3" s="1"/>
      <c r="D3" s="1"/>
      <c r="E3" s="1"/>
      <c r="F3" s="2"/>
      <c r="G3" s="2"/>
      <c r="H3" s="3"/>
      <c r="I3" s="3"/>
    </row>
    <row r="4" spans="1:9" ht="12.75">
      <c r="A4" s="1"/>
      <c r="B4" s="1" t="str">
        <f>'DATA sheet'!B7</f>
        <v>width of stair case</v>
      </c>
      <c r="C4" s="1"/>
      <c r="D4" s="1"/>
      <c r="E4" s="1"/>
      <c r="F4" s="204">
        <f>'DATA sheet'!I7</f>
        <v>1.4</v>
      </c>
      <c r="G4" s="1" t="str">
        <f>'DATA sheet'!K8</f>
        <v>mtr</v>
      </c>
      <c r="H4">
        <f>'DATA sheet'!M7</f>
        <v>1400</v>
      </c>
      <c r="I4" t="s">
        <v>20</v>
      </c>
    </row>
    <row r="5" spans="1:19" ht="12.75">
      <c r="A5" s="1"/>
      <c r="B5" s="1" t="str">
        <f>'DATA sheet'!B8</f>
        <v>Risers</v>
      </c>
      <c r="C5" s="1"/>
      <c r="D5" s="1"/>
      <c r="E5" s="1"/>
      <c r="F5" s="204">
        <f>'DATA sheet'!I8</f>
        <v>0.16</v>
      </c>
      <c r="G5" s="1" t="str">
        <f>'DATA sheet'!K8</f>
        <v>mtr</v>
      </c>
      <c r="H5">
        <f>'DATA sheet'!M8</f>
        <v>160</v>
      </c>
      <c r="I5" t="s">
        <v>20</v>
      </c>
      <c r="J5" s="1" t="str">
        <f>'DATA sheet'!B9</f>
        <v>Treads</v>
      </c>
      <c r="K5" s="1"/>
      <c r="L5" s="1"/>
      <c r="M5" s="1"/>
      <c r="N5" s="204">
        <f>'DATA sheet'!I9</f>
        <v>0.25</v>
      </c>
      <c r="O5" s="1" t="s">
        <v>21</v>
      </c>
      <c r="R5">
        <f>'DATA sheet'!M9</f>
        <v>250</v>
      </c>
      <c r="S5" t="s">
        <v>20</v>
      </c>
    </row>
    <row r="6" spans="1:14" ht="14.25">
      <c r="A6" s="1"/>
      <c r="B6" s="1" t="s">
        <v>127</v>
      </c>
      <c r="C6" s="1"/>
      <c r="D6" s="1"/>
      <c r="E6" s="1"/>
      <c r="F6" s="205">
        <f>'DATA sheet'!I10</f>
        <v>4000</v>
      </c>
      <c r="G6" s="1" t="s">
        <v>128</v>
      </c>
      <c r="H6" s="3"/>
      <c r="I6" s="3"/>
      <c r="N6" s="21"/>
    </row>
    <row r="7" spans="1:15" ht="14.25">
      <c r="A7" s="1"/>
      <c r="B7" s="3" t="str">
        <f>'DATA sheet'!B11</f>
        <v>Conrete                              </v>
      </c>
      <c r="C7" s="1"/>
      <c r="E7" s="8" t="s">
        <v>111</v>
      </c>
      <c r="F7" s="206">
        <f>'DATA sheet'!I11</f>
        <v>20</v>
      </c>
      <c r="I7" s="3"/>
      <c r="J7" s="1" t="str">
        <f>'DATA sheet'!B13</f>
        <v>Steel                                  </v>
      </c>
      <c r="K7" s="1"/>
      <c r="M7" s="8" t="s">
        <v>112</v>
      </c>
      <c r="N7" s="206">
        <f>'DATA sheet'!I13</f>
        <v>415</v>
      </c>
      <c r="O7" t="s">
        <v>23</v>
      </c>
    </row>
    <row r="8" spans="1:15" ht="12.75">
      <c r="A8" s="1"/>
      <c r="B8" s="1" t="s">
        <v>78</v>
      </c>
      <c r="C8" s="1"/>
      <c r="D8" s="1"/>
      <c r="E8" s="2"/>
      <c r="F8" s="29">
        <f>'DATA sheet'!I14</f>
        <v>25</v>
      </c>
      <c r="G8" t="s">
        <v>20</v>
      </c>
      <c r="H8" s="2"/>
      <c r="I8" s="2"/>
      <c r="J8" s="1" t="s">
        <v>79</v>
      </c>
      <c r="K8" s="1"/>
      <c r="L8" s="1"/>
      <c r="M8" s="2"/>
      <c r="N8" s="29">
        <f>'DATA sheet'!Q14</f>
        <v>30</v>
      </c>
      <c r="O8" t="s">
        <v>20</v>
      </c>
    </row>
    <row r="9" spans="1:12" ht="12.75">
      <c r="A9" s="1"/>
      <c r="B9" s="1"/>
      <c r="C9" s="1"/>
      <c r="D9" s="1"/>
      <c r="E9" s="2"/>
      <c r="H9" s="2"/>
      <c r="I9" s="2"/>
      <c r="J9" s="2"/>
      <c r="K9" s="9"/>
      <c r="L9" s="4"/>
    </row>
    <row r="10" spans="1:10" ht="12.75">
      <c r="A10" s="3">
        <v>1</v>
      </c>
      <c r="B10" s="20" t="s">
        <v>8</v>
      </c>
      <c r="C10" s="3"/>
      <c r="D10" t="s">
        <v>9</v>
      </c>
      <c r="G10" s="517" t="s">
        <v>25</v>
      </c>
      <c r="H10" s="517"/>
      <c r="I10" s="5" t="s">
        <v>0</v>
      </c>
      <c r="J10" s="4">
        <f>F7</f>
        <v>20</v>
      </c>
    </row>
    <row r="11" spans="2:3" ht="12.75">
      <c r="B11" s="3"/>
      <c r="C11" s="3"/>
    </row>
    <row r="12" spans="2:13" ht="15.75">
      <c r="B12" s="14" t="s">
        <v>10</v>
      </c>
      <c r="C12" s="15" t="s">
        <v>0</v>
      </c>
      <c r="D12" s="4">
        <f>'DATA sheet'!Q13</f>
        <v>230</v>
      </c>
      <c r="E12" t="s">
        <v>23</v>
      </c>
      <c r="H12" s="521" t="s">
        <v>11</v>
      </c>
      <c r="I12" s="521"/>
      <c r="J12" s="521"/>
      <c r="K12" s="7" t="s">
        <v>0</v>
      </c>
      <c r="L12" s="4">
        <f>'DATA sheet'!I12</f>
        <v>25000</v>
      </c>
      <c r="M12" t="s">
        <v>23</v>
      </c>
    </row>
    <row r="13" spans="2:12" ht="15.75">
      <c r="B13" s="14" t="s">
        <v>12</v>
      </c>
      <c r="C13" s="15" t="s">
        <v>0</v>
      </c>
      <c r="D13" s="4">
        <f>'DATA sheet'!Q12</f>
        <v>7</v>
      </c>
      <c r="E13" t="s">
        <v>24</v>
      </c>
      <c r="H13" s="521"/>
      <c r="I13" s="521"/>
      <c r="J13" s="521"/>
      <c r="K13" s="7"/>
      <c r="L13" s="4"/>
    </row>
    <row r="14" spans="2:21" ht="15.75">
      <c r="B14" s="16" t="s">
        <v>13</v>
      </c>
      <c r="C14" s="15" t="s">
        <v>0</v>
      </c>
      <c r="D14" s="4">
        <f>'DATA sheet'!Q11</f>
        <v>13.33</v>
      </c>
      <c r="H14" s="11"/>
      <c r="I14" s="11"/>
      <c r="J14" s="11"/>
      <c r="K14" s="7"/>
      <c r="L14" s="4"/>
      <c r="U14" s="25" t="s">
        <v>75</v>
      </c>
    </row>
    <row r="15" spans="2:12" ht="12.75">
      <c r="B15" s="522" t="s">
        <v>14</v>
      </c>
      <c r="C15" s="525" t="s">
        <v>15</v>
      </c>
      <c r="D15" s="525"/>
      <c r="E15" s="460" t="s">
        <v>0</v>
      </c>
      <c r="F15" s="526">
        <f>D14</f>
        <v>13.33</v>
      </c>
      <c r="G15" s="526"/>
      <c r="H15" s="17" t="s">
        <v>1</v>
      </c>
      <c r="I15" s="528">
        <f>D13</f>
        <v>7</v>
      </c>
      <c r="J15" s="528"/>
      <c r="K15" s="460" t="s">
        <v>0</v>
      </c>
      <c r="L15" s="519">
        <f>F15*I15/(J16+H16*F16)</f>
        <v>0.28860845628035015</v>
      </c>
    </row>
    <row r="16" spans="2:12" ht="15.75">
      <c r="B16" s="466"/>
      <c r="C16" s="520" t="s">
        <v>16</v>
      </c>
      <c r="D16" s="520"/>
      <c r="E16" s="461"/>
      <c r="F16" s="12">
        <f>D14</f>
        <v>13.33</v>
      </c>
      <c r="G16" s="4" t="s">
        <v>1</v>
      </c>
      <c r="H16" s="4">
        <f>D13</f>
        <v>7</v>
      </c>
      <c r="I16" s="7" t="s">
        <v>3</v>
      </c>
      <c r="J16" s="4">
        <f>D12</f>
        <v>230</v>
      </c>
      <c r="K16" s="461"/>
      <c r="L16" s="519"/>
    </row>
    <row r="17" spans="2:13" ht="15.75">
      <c r="B17" s="8" t="s">
        <v>17</v>
      </c>
      <c r="C17" s="18" t="s">
        <v>0</v>
      </c>
      <c r="D17" s="4">
        <v>1</v>
      </c>
      <c r="E17" s="7" t="s">
        <v>18</v>
      </c>
      <c r="F17" s="30">
        <f>L15</f>
        <v>0.28860845628035015</v>
      </c>
      <c r="G17" s="4" t="s">
        <v>2</v>
      </c>
      <c r="H17" s="4">
        <v>3</v>
      </c>
      <c r="I17" s="7"/>
      <c r="J17" s="4"/>
      <c r="K17" s="7" t="s">
        <v>0</v>
      </c>
      <c r="L17" s="19">
        <f>1-L15/3</f>
        <v>0.9037971812398833</v>
      </c>
      <c r="M17" s="4"/>
    </row>
    <row r="18" spans="2:13" ht="15.75">
      <c r="B18" s="3" t="s">
        <v>19</v>
      </c>
      <c r="C18" s="18" t="s">
        <v>0</v>
      </c>
      <c r="D18" s="4">
        <v>0.5</v>
      </c>
      <c r="E18" s="4" t="s">
        <v>1</v>
      </c>
      <c r="F18" s="4">
        <f>D13</f>
        <v>7</v>
      </c>
      <c r="G18" s="4" t="s">
        <v>1</v>
      </c>
      <c r="H18" s="30">
        <f>L17</f>
        <v>0.9037971812398833</v>
      </c>
      <c r="I18" s="4" t="s">
        <v>1</v>
      </c>
      <c r="J18" s="30">
        <f>L15</f>
        <v>0.28860845628035015</v>
      </c>
      <c r="K18" s="7" t="s">
        <v>0</v>
      </c>
      <c r="L18" s="518">
        <f>J18*H18*F18*D18</f>
        <v>0.9129522824386109</v>
      </c>
      <c r="M18" s="518"/>
    </row>
    <row r="19" spans="3:11" ht="12.75">
      <c r="C19" s="3"/>
      <c r="K19" s="4"/>
    </row>
    <row r="20" spans="1:11" ht="12.75">
      <c r="A20">
        <v>2</v>
      </c>
      <c r="B20" s="20" t="s">
        <v>131</v>
      </c>
      <c r="C20" s="3"/>
      <c r="K20" s="4"/>
    </row>
    <row r="21" spans="2:11" ht="12.75">
      <c r="B21" s="20"/>
      <c r="C21" s="340" t="s">
        <v>364</v>
      </c>
      <c r="D21" s="340"/>
      <c r="E21" s="340"/>
      <c r="I21" s="342" t="s">
        <v>0</v>
      </c>
      <c r="J21" s="42">
        <v>80</v>
      </c>
      <c r="K21" s="341" t="s">
        <v>209</v>
      </c>
    </row>
    <row r="22" spans="2:11" ht="12.75">
      <c r="B22" s="3" t="s">
        <v>118</v>
      </c>
      <c r="C22" s="3"/>
      <c r="H22" s="29"/>
      <c r="K22" s="4"/>
    </row>
    <row r="23" spans="2:16" ht="14.25">
      <c r="B23" s="25"/>
      <c r="C23" s="46" t="s">
        <v>75</v>
      </c>
      <c r="D23" s="28" t="s">
        <v>101</v>
      </c>
      <c r="F23" t="s">
        <v>119</v>
      </c>
      <c r="H23" s="4">
        <f>H5</f>
        <v>160</v>
      </c>
      <c r="I23" t="s">
        <v>120</v>
      </c>
      <c r="K23" s="4"/>
      <c r="L23" s="4" t="s">
        <v>100</v>
      </c>
      <c r="M23" s="7" t="s">
        <v>0</v>
      </c>
      <c r="N23" s="4">
        <f>R5</f>
        <v>250</v>
      </c>
      <c r="O23" s="527" t="s">
        <v>20</v>
      </c>
      <c r="P23" s="527"/>
    </row>
    <row r="24" spans="2:14" ht="12.75">
      <c r="B24" s="20"/>
      <c r="C24" s="3"/>
      <c r="D24" s="38" t="s">
        <v>100</v>
      </c>
      <c r="K24" s="4"/>
      <c r="L24" s="4"/>
      <c r="N24" s="4"/>
    </row>
    <row r="25" spans="3:11" ht="14.25">
      <c r="C25" s="39" t="s">
        <v>102</v>
      </c>
      <c r="D25" s="38">
        <f>H23</f>
        <v>160</v>
      </c>
      <c r="E25" s="40" t="s">
        <v>103</v>
      </c>
      <c r="F25" s="38">
        <f>N23</f>
        <v>250</v>
      </c>
      <c r="G25" s="41" t="s">
        <v>104</v>
      </c>
      <c r="H25" s="47">
        <f>ROUND((D25^2+F25^2)^0.5/D26,2)</f>
        <v>1.19</v>
      </c>
      <c r="J25" t="s">
        <v>121</v>
      </c>
      <c r="K25" s="4"/>
    </row>
    <row r="26" spans="4:6" ht="12.75">
      <c r="D26" s="494">
        <f>F25</f>
        <v>250</v>
      </c>
      <c r="E26" s="494"/>
      <c r="F26" s="494"/>
    </row>
    <row r="27" spans="2:11" ht="12.75">
      <c r="B27" t="s">
        <v>122</v>
      </c>
      <c r="C27" s="3"/>
      <c r="H27" t="s">
        <v>123</v>
      </c>
      <c r="K27" s="4"/>
    </row>
    <row r="28" spans="3:11" ht="12.75">
      <c r="C28" s="3"/>
      <c r="K28" s="4"/>
    </row>
    <row r="29" spans="2:19" ht="12.75">
      <c r="B29" s="461" t="s">
        <v>124</v>
      </c>
      <c r="C29" s="461"/>
      <c r="D29" s="461"/>
      <c r="E29" s="23" t="s">
        <v>0</v>
      </c>
      <c r="F29" s="32">
        <f>J21/1000</f>
        <v>0.08</v>
      </c>
      <c r="G29" s="10" t="s">
        <v>1</v>
      </c>
      <c r="H29" s="32">
        <v>1</v>
      </c>
      <c r="I29" s="10" t="s">
        <v>1</v>
      </c>
      <c r="J29" s="32">
        <v>1</v>
      </c>
      <c r="K29" s="10" t="s">
        <v>1</v>
      </c>
      <c r="L29" s="10">
        <f>L12</f>
        <v>25000</v>
      </c>
      <c r="M29" s="10" t="s">
        <v>1</v>
      </c>
      <c r="N29" s="43">
        <f>H25</f>
        <v>1.19</v>
      </c>
      <c r="O29" s="48" t="s">
        <v>0</v>
      </c>
      <c r="P29" s="517">
        <f>N29*L29*J29*H29*F29</f>
        <v>2380</v>
      </c>
      <c r="Q29" s="517"/>
      <c r="R29" s="54" t="s">
        <v>129</v>
      </c>
      <c r="S29" s="10"/>
    </row>
    <row r="30" spans="2:19" ht="12.75">
      <c r="B30" s="461" t="s">
        <v>125</v>
      </c>
      <c r="C30" s="461"/>
      <c r="D30" s="461"/>
      <c r="E30" s="7" t="s">
        <v>0</v>
      </c>
      <c r="F30" s="10">
        <v>0.5</v>
      </c>
      <c r="G30" s="10" t="s">
        <v>1</v>
      </c>
      <c r="H30" s="37">
        <f>F5</f>
        <v>0.16</v>
      </c>
      <c r="J30" s="32">
        <v>1</v>
      </c>
      <c r="K30" s="10" t="s">
        <v>1</v>
      </c>
      <c r="L30" s="32">
        <v>1</v>
      </c>
      <c r="M30" s="10" t="s">
        <v>1</v>
      </c>
      <c r="N30" s="12">
        <f>L29</f>
        <v>25000</v>
      </c>
      <c r="O30" s="48" t="s">
        <v>0</v>
      </c>
      <c r="P30" s="517">
        <f>N30*L30*J30*H30*F30</f>
        <v>2000</v>
      </c>
      <c r="Q30" s="517"/>
      <c r="R30" s="54" t="s">
        <v>129</v>
      </c>
      <c r="S30" s="10"/>
    </row>
    <row r="31" spans="2:19" ht="12.75">
      <c r="B31" s="461" t="s">
        <v>105</v>
      </c>
      <c r="C31" s="461"/>
      <c r="D31" s="461"/>
      <c r="E31" s="7" t="s">
        <v>0</v>
      </c>
      <c r="F31" s="10"/>
      <c r="G31" s="10"/>
      <c r="H31" s="10"/>
      <c r="I31" s="10"/>
      <c r="J31" s="10"/>
      <c r="K31" s="10"/>
      <c r="L31" s="49" t="s">
        <v>106</v>
      </c>
      <c r="O31" s="51" t="s">
        <v>0</v>
      </c>
      <c r="P31" s="515">
        <v>100</v>
      </c>
      <c r="Q31" s="515"/>
      <c r="R31" s="55" t="str">
        <f>R30</f>
        <v>N</v>
      </c>
      <c r="S31" s="10"/>
    </row>
    <row r="32" spans="2:19" ht="14.25" customHeight="1">
      <c r="B32" s="461" t="s">
        <v>126</v>
      </c>
      <c r="C32" s="461"/>
      <c r="D32" s="461"/>
      <c r="E32" s="7" t="s">
        <v>0</v>
      </c>
      <c r="F32" s="12"/>
      <c r="G32" s="48"/>
      <c r="H32" s="32"/>
      <c r="I32" s="12"/>
      <c r="J32" s="12"/>
      <c r="K32" s="10"/>
      <c r="L32" s="32"/>
      <c r="M32" s="51"/>
      <c r="O32" s="51" t="s">
        <v>0</v>
      </c>
      <c r="P32" s="534">
        <f>F6</f>
        <v>4000</v>
      </c>
      <c r="Q32" s="515"/>
      <c r="R32" s="55" t="str">
        <f>R31</f>
        <v>N</v>
      </c>
      <c r="S32" s="10"/>
    </row>
    <row r="33" spans="2:19" ht="12.75">
      <c r="B33" s="10"/>
      <c r="C33" s="27"/>
      <c r="D33" s="10"/>
      <c r="E33" s="10"/>
      <c r="F33" s="10"/>
      <c r="G33" s="10"/>
      <c r="H33" s="10"/>
      <c r="I33" s="10"/>
      <c r="J33" s="10"/>
      <c r="K33" s="10"/>
      <c r="M33" s="23"/>
      <c r="N33" s="24" t="s">
        <v>107</v>
      </c>
      <c r="O33" s="53" t="s">
        <v>0</v>
      </c>
      <c r="P33" s="487">
        <f>SUM(P29:P32)</f>
        <v>8480</v>
      </c>
      <c r="Q33" s="487"/>
      <c r="R33" s="52" t="s">
        <v>129</v>
      </c>
      <c r="S33" s="10"/>
    </row>
    <row r="34" spans="2:19" ht="12.75">
      <c r="B34" s="54" t="s">
        <v>130</v>
      </c>
      <c r="C34" s="27"/>
      <c r="D34" s="10"/>
      <c r="E34" s="10"/>
      <c r="F34" s="10"/>
      <c r="G34" s="10"/>
      <c r="H34" s="10"/>
      <c r="I34" s="10"/>
      <c r="J34" s="10"/>
      <c r="K34" s="10"/>
      <c r="M34" s="23"/>
      <c r="N34" s="32"/>
      <c r="O34" s="51"/>
      <c r="P34" s="32"/>
      <c r="Q34" s="32"/>
      <c r="R34" s="49"/>
      <c r="S34" s="10"/>
    </row>
    <row r="35" spans="2:19" ht="12.75">
      <c r="B35" s="10"/>
      <c r="C35" s="27"/>
      <c r="D35" s="10"/>
      <c r="E35" s="10"/>
      <c r="F35" s="10"/>
      <c r="G35" s="10"/>
      <c r="H35" s="10"/>
      <c r="I35" s="10"/>
      <c r="J35" s="10"/>
      <c r="K35" s="10"/>
      <c r="M35" s="23"/>
      <c r="N35" s="32"/>
      <c r="O35" s="51"/>
      <c r="P35" s="32"/>
      <c r="Q35" s="32"/>
      <c r="R35" s="49"/>
      <c r="S35" s="10"/>
    </row>
    <row r="36" spans="1:19" ht="12.75">
      <c r="A36">
        <v>3</v>
      </c>
      <c r="B36" s="26" t="s">
        <v>132</v>
      </c>
      <c r="C36" s="27"/>
      <c r="D36" s="10"/>
      <c r="E36" s="10"/>
      <c r="F36" s="10"/>
      <c r="G36" s="10"/>
      <c r="H36" s="10"/>
      <c r="I36" s="10"/>
      <c r="J36" s="10"/>
      <c r="K36" s="10"/>
      <c r="M36" s="23"/>
      <c r="N36" s="32"/>
      <c r="O36" s="51"/>
      <c r="P36" s="32"/>
      <c r="Q36" s="32"/>
      <c r="R36" s="49"/>
      <c r="S36" s="10"/>
    </row>
    <row r="37" spans="2:19" ht="12.75" customHeight="1">
      <c r="B37" s="532" t="s">
        <v>133</v>
      </c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</row>
    <row r="38" spans="2:19" ht="12.75" customHeight="1">
      <c r="B38" s="532" t="s">
        <v>134</v>
      </c>
      <c r="C38" s="532"/>
      <c r="D38" s="532"/>
      <c r="E38" s="532"/>
      <c r="F38" s="532"/>
      <c r="G38" s="532"/>
      <c r="H38" s="199">
        <f>F6</f>
        <v>4000</v>
      </c>
      <c r="I38" s="533" t="s">
        <v>135</v>
      </c>
      <c r="J38" s="533"/>
      <c r="K38" s="533"/>
      <c r="L38" s="533"/>
      <c r="M38" s="533"/>
      <c r="N38" s="533"/>
      <c r="O38" s="533"/>
      <c r="Q38" s="56"/>
      <c r="R38" s="56"/>
      <c r="S38" s="56"/>
    </row>
    <row r="39" spans="4:19" ht="12.75">
      <c r="D39" s="57" t="s">
        <v>136</v>
      </c>
      <c r="E39" s="45" t="s">
        <v>0</v>
      </c>
      <c r="F39" s="10">
        <f>P29</f>
        <v>2380</v>
      </c>
      <c r="G39" s="23" t="s">
        <v>3</v>
      </c>
      <c r="H39" s="10">
        <f>P30</f>
        <v>2000</v>
      </c>
      <c r="I39" s="23" t="s">
        <v>3</v>
      </c>
      <c r="J39" s="10">
        <f>P31</f>
        <v>100</v>
      </c>
      <c r="K39" s="10"/>
      <c r="M39" s="23"/>
      <c r="N39" s="32"/>
      <c r="O39" s="51" t="s">
        <v>0</v>
      </c>
      <c r="P39" s="515">
        <f>J39+H39+F39</f>
        <v>4480</v>
      </c>
      <c r="Q39" s="515"/>
      <c r="R39" s="49" t="s">
        <v>129</v>
      </c>
      <c r="S39" s="10"/>
    </row>
    <row r="40" spans="2:19" ht="12.75">
      <c r="B40" s="524" t="s">
        <v>365</v>
      </c>
      <c r="C40" s="524"/>
      <c r="D40" s="524"/>
      <c r="E40" s="524"/>
      <c r="F40" s="524"/>
      <c r="G40" s="44" t="s">
        <v>0</v>
      </c>
      <c r="H40" s="63">
        <v>200</v>
      </c>
      <c r="I40" s="32" t="s">
        <v>20</v>
      </c>
      <c r="J40" s="49"/>
      <c r="K40" s="10"/>
      <c r="M40" s="23"/>
      <c r="N40" s="32"/>
      <c r="S40" s="10"/>
    </row>
    <row r="41" spans="2:19" ht="12.75">
      <c r="B41" s="524" t="s">
        <v>137</v>
      </c>
      <c r="C41" s="524"/>
      <c r="D41" s="524"/>
      <c r="E41" s="524"/>
      <c r="F41" s="524"/>
      <c r="G41" s="523" t="s">
        <v>0</v>
      </c>
      <c r="H41" s="43">
        <f>F4</f>
        <v>1.4</v>
      </c>
      <c r="I41" s="23" t="s">
        <v>18</v>
      </c>
      <c r="J41" s="10">
        <f>H40/1000</f>
        <v>0.2</v>
      </c>
      <c r="O41" s="460" t="s">
        <v>0</v>
      </c>
      <c r="P41" s="514">
        <f>(H41-J41)/H42</f>
        <v>0.6</v>
      </c>
      <c r="Q41" s="514"/>
      <c r="R41" s="515" t="s">
        <v>21</v>
      </c>
      <c r="S41" s="10"/>
    </row>
    <row r="42" spans="2:19" ht="12.75">
      <c r="B42" s="524"/>
      <c r="C42" s="524"/>
      <c r="D42" s="524"/>
      <c r="E42" s="524"/>
      <c r="F42" s="524"/>
      <c r="G42" s="523"/>
      <c r="H42" s="487">
        <v>2</v>
      </c>
      <c r="I42" s="487"/>
      <c r="J42" s="487"/>
      <c r="O42" s="461"/>
      <c r="P42" s="514"/>
      <c r="Q42" s="514"/>
      <c r="R42" s="515"/>
      <c r="S42" s="10"/>
    </row>
    <row r="43" spans="2:20" ht="12.75" customHeight="1">
      <c r="B43" s="504" t="s">
        <v>138</v>
      </c>
      <c r="C43" s="504"/>
      <c r="D43" s="504"/>
      <c r="E43" s="504"/>
      <c r="F43" s="65" t="s">
        <v>154</v>
      </c>
      <c r="G43" s="513" t="s">
        <v>0</v>
      </c>
      <c r="H43" s="65">
        <f>P39</f>
        <v>4480</v>
      </c>
      <c r="I43" s="65" t="s">
        <v>28</v>
      </c>
      <c r="J43" s="66">
        <f>P41</f>
        <v>0.6</v>
      </c>
      <c r="K43" s="50" t="s">
        <v>155</v>
      </c>
      <c r="L43" s="67"/>
      <c r="M43" s="467"/>
      <c r="N43" s="67"/>
      <c r="O43" s="473" t="s">
        <v>0</v>
      </c>
      <c r="P43" s="467">
        <f>ROUND(H43*J43^2/H44,)</f>
        <v>806</v>
      </c>
      <c r="Q43" s="467"/>
      <c r="R43" s="467" t="s">
        <v>108</v>
      </c>
      <c r="S43" s="58"/>
      <c r="T43" s="59"/>
    </row>
    <row r="44" spans="2:20" ht="12.75">
      <c r="B44" s="467"/>
      <c r="C44" s="467"/>
      <c r="D44" s="467"/>
      <c r="E44" s="467"/>
      <c r="F44" s="68">
        <v>2</v>
      </c>
      <c r="G44" s="467"/>
      <c r="H44" s="500">
        <v>2</v>
      </c>
      <c r="I44" s="500"/>
      <c r="J44" s="500"/>
      <c r="K44" s="68"/>
      <c r="L44" s="67"/>
      <c r="M44" s="467"/>
      <c r="N44" s="70"/>
      <c r="O44" s="467"/>
      <c r="P44" s="467"/>
      <c r="Q44" s="467"/>
      <c r="R44" s="467"/>
      <c r="S44" s="58"/>
      <c r="T44" s="59"/>
    </row>
    <row r="45" spans="2:20" ht="14.25">
      <c r="B45" s="467" t="s">
        <v>139</v>
      </c>
      <c r="C45" s="467"/>
      <c r="D45" s="467"/>
      <c r="E45" s="467"/>
      <c r="F45" s="71" t="s">
        <v>154</v>
      </c>
      <c r="G45" s="473" t="s">
        <v>0</v>
      </c>
      <c r="H45" s="72">
        <f>F6</f>
        <v>4000</v>
      </c>
      <c r="I45" s="71" t="s">
        <v>28</v>
      </c>
      <c r="J45" s="73">
        <f>P41</f>
        <v>0.6</v>
      </c>
      <c r="K45" s="50" t="s">
        <v>155</v>
      </c>
      <c r="L45" s="67"/>
      <c r="M45" s="467"/>
      <c r="N45" s="67"/>
      <c r="O45" s="473" t="s">
        <v>0</v>
      </c>
      <c r="P45" s="467">
        <f>ROUND(H45*J45^2/H46,)</f>
        <v>720</v>
      </c>
      <c r="Q45" s="467"/>
      <c r="R45" s="467" t="s">
        <v>108</v>
      </c>
      <c r="S45" s="58"/>
      <c r="T45" s="59"/>
    </row>
    <row r="46" spans="2:20" ht="12.75">
      <c r="B46" s="467"/>
      <c r="C46" s="467"/>
      <c r="D46" s="467"/>
      <c r="E46" s="467"/>
      <c r="F46" s="68">
        <v>2</v>
      </c>
      <c r="G46" s="467"/>
      <c r="H46" s="500">
        <v>2</v>
      </c>
      <c r="I46" s="500"/>
      <c r="J46" s="500"/>
      <c r="K46" s="68"/>
      <c r="L46" s="67"/>
      <c r="M46" s="467"/>
      <c r="N46" s="70"/>
      <c r="O46" s="467"/>
      <c r="P46" s="467"/>
      <c r="Q46" s="467"/>
      <c r="R46" s="467"/>
      <c r="S46" s="58"/>
      <c r="T46" s="59"/>
    </row>
    <row r="47" spans="2:20" ht="12.75">
      <c r="B47" s="70" t="s">
        <v>140</v>
      </c>
      <c r="C47" s="70"/>
      <c r="D47" s="70"/>
      <c r="E47" s="70"/>
      <c r="F47" s="70"/>
      <c r="G47" s="69" t="s">
        <v>0</v>
      </c>
      <c r="H47" s="74">
        <f>H38</f>
        <v>4000</v>
      </c>
      <c r="I47" s="75" t="s">
        <v>1</v>
      </c>
      <c r="J47" s="76">
        <f>P41</f>
        <v>0.6</v>
      </c>
      <c r="K47" s="50"/>
      <c r="L47" s="67"/>
      <c r="M47" s="467"/>
      <c r="N47" s="67"/>
      <c r="O47" s="77" t="s">
        <v>0</v>
      </c>
      <c r="P47" s="465">
        <f>H47*J47</f>
        <v>2400</v>
      </c>
      <c r="Q47" s="465"/>
      <c r="R47" s="70" t="s">
        <v>108</v>
      </c>
      <c r="S47" s="58"/>
      <c r="T47" s="59"/>
    </row>
    <row r="48" spans="2:20" ht="15">
      <c r="B48" s="467" t="s">
        <v>143</v>
      </c>
      <c r="C48" s="467"/>
      <c r="D48" s="467"/>
      <c r="E48" s="467"/>
      <c r="F48" s="467"/>
      <c r="G48" s="69" t="s">
        <v>0</v>
      </c>
      <c r="H48" s="75">
        <f>P43</f>
        <v>806</v>
      </c>
      <c r="I48" s="78" t="s">
        <v>3</v>
      </c>
      <c r="J48" s="75">
        <f>P47</f>
        <v>2400</v>
      </c>
      <c r="K48" s="68"/>
      <c r="L48" s="67"/>
      <c r="M48" s="467"/>
      <c r="N48" s="75"/>
      <c r="O48" s="77" t="s">
        <v>0</v>
      </c>
      <c r="P48" s="529">
        <f>J48+H48</f>
        <v>3206</v>
      </c>
      <c r="Q48" s="529"/>
      <c r="R48" s="70" t="s">
        <v>108</v>
      </c>
      <c r="S48" s="58"/>
      <c r="T48" s="59"/>
    </row>
    <row r="49" spans="2:20" ht="12.75" customHeight="1">
      <c r="B49" s="469" t="s">
        <v>142</v>
      </c>
      <c r="C49" s="469"/>
      <c r="D49" s="469"/>
      <c r="E49" s="473" t="s">
        <v>0</v>
      </c>
      <c r="F49" s="79" t="s">
        <v>141</v>
      </c>
      <c r="G49" s="473" t="s">
        <v>0</v>
      </c>
      <c r="H49" s="531">
        <f>P48*1000</f>
        <v>3206000</v>
      </c>
      <c r="I49" s="531"/>
      <c r="J49" s="531"/>
      <c r="K49" s="473" t="s">
        <v>0</v>
      </c>
      <c r="L49" s="483">
        <f>ROUNDUP((H49/H50/J50)^0.5,)</f>
        <v>60</v>
      </c>
      <c r="M49" s="80"/>
      <c r="N49" s="467" t="s">
        <v>20</v>
      </c>
      <c r="O49" s="530" t="s">
        <v>110</v>
      </c>
      <c r="P49" s="530"/>
      <c r="Q49" s="530"/>
      <c r="R49" s="467">
        <f>J21</f>
        <v>80</v>
      </c>
      <c r="S49" s="504" t="s">
        <v>20</v>
      </c>
      <c r="T49" s="59"/>
    </row>
    <row r="50" spans="2:20" ht="12.75">
      <c r="B50" s="469"/>
      <c r="C50" s="469"/>
      <c r="D50" s="469"/>
      <c r="E50" s="467"/>
      <c r="F50" s="81" t="s">
        <v>109</v>
      </c>
      <c r="G50" s="467"/>
      <c r="H50" s="82">
        <f>L18</f>
        <v>0.9129522824386109</v>
      </c>
      <c r="I50" s="22" t="s">
        <v>1</v>
      </c>
      <c r="J50" s="83">
        <v>1000</v>
      </c>
      <c r="K50" s="473"/>
      <c r="L50" s="483"/>
      <c r="M50" s="80"/>
      <c r="N50" s="467"/>
      <c r="O50" s="530"/>
      <c r="P50" s="530"/>
      <c r="Q50" s="530"/>
      <c r="R50" s="467"/>
      <c r="S50" s="504"/>
      <c r="T50" s="59"/>
    </row>
    <row r="51" spans="2:20" ht="14.25" customHeight="1">
      <c r="B51" s="469" t="s">
        <v>145</v>
      </c>
      <c r="C51" s="469"/>
      <c r="D51" s="469"/>
      <c r="E51" s="469"/>
      <c r="F51" s="469"/>
      <c r="G51" s="69" t="s">
        <v>0</v>
      </c>
      <c r="H51" s="83">
        <f>J21</f>
        <v>80</v>
      </c>
      <c r="I51" s="535" t="s">
        <v>144</v>
      </c>
      <c r="J51" s="535"/>
      <c r="K51" s="535"/>
      <c r="L51" s="535"/>
      <c r="M51" s="84" t="s">
        <v>0</v>
      </c>
      <c r="N51" s="62">
        <f>H51</f>
        <v>80</v>
      </c>
      <c r="O51" s="85" t="s">
        <v>18</v>
      </c>
      <c r="P51" s="86">
        <f>F8</f>
        <v>25</v>
      </c>
      <c r="Q51" s="85" t="s">
        <v>0</v>
      </c>
      <c r="R51" s="62">
        <f>N51-P51</f>
        <v>55</v>
      </c>
      <c r="S51" s="61" t="s">
        <v>20</v>
      </c>
      <c r="T51" s="59"/>
    </row>
    <row r="52" spans="2:20" ht="12.75">
      <c r="B52" s="477" t="s">
        <v>4</v>
      </c>
      <c r="C52" s="478" t="s">
        <v>195</v>
      </c>
      <c r="D52" s="478"/>
      <c r="E52" s="479" t="s">
        <v>0</v>
      </c>
      <c r="F52" s="471">
        <f>H49</f>
        <v>3206000</v>
      </c>
      <c r="G52" s="471"/>
      <c r="H52" s="471"/>
      <c r="I52" s="471"/>
      <c r="J52" s="471"/>
      <c r="K52" s="473" t="s">
        <v>0</v>
      </c>
      <c r="L52" s="483">
        <f>F52/F53/H53/J53</f>
        <v>280.415496350833</v>
      </c>
      <c r="M52" s="483"/>
      <c r="N52" s="467" t="s">
        <v>156</v>
      </c>
      <c r="O52" s="67"/>
      <c r="P52" s="67"/>
      <c r="Q52" s="67"/>
      <c r="R52" s="67"/>
      <c r="S52" s="59"/>
      <c r="T52" s="59"/>
    </row>
    <row r="53" spans="2:20" ht="12.75">
      <c r="B53" s="477"/>
      <c r="C53" s="481" t="s">
        <v>157</v>
      </c>
      <c r="D53" s="480"/>
      <c r="E53" s="480"/>
      <c r="F53" s="67">
        <f>D12</f>
        <v>230</v>
      </c>
      <c r="G53" s="22" t="s">
        <v>1</v>
      </c>
      <c r="H53" s="88">
        <f>L17</f>
        <v>0.9037971812398833</v>
      </c>
      <c r="I53" s="22" t="s">
        <v>1</v>
      </c>
      <c r="J53" s="83">
        <f>R51</f>
        <v>55</v>
      </c>
      <c r="K53" s="473"/>
      <c r="L53" s="483"/>
      <c r="M53" s="483"/>
      <c r="N53" s="467"/>
      <c r="O53" s="67"/>
      <c r="P53" s="67"/>
      <c r="Q53" s="67"/>
      <c r="R53" s="67"/>
      <c r="S53" s="59"/>
      <c r="T53" s="59"/>
    </row>
    <row r="54" spans="2:20" ht="15" customHeight="1">
      <c r="B54" s="467" t="s">
        <v>5</v>
      </c>
      <c r="C54" s="468">
        <f>'DATA sheet'!I20</f>
        <v>10</v>
      </c>
      <c r="D54" s="467" t="s">
        <v>158</v>
      </c>
      <c r="E54" s="467"/>
      <c r="F54" s="467" t="s">
        <v>6</v>
      </c>
      <c r="G54" s="473" t="s">
        <v>0</v>
      </c>
      <c r="H54" s="90" t="s">
        <v>159</v>
      </c>
      <c r="I54" s="90"/>
      <c r="J54" s="70"/>
      <c r="K54" s="473" t="s">
        <v>0</v>
      </c>
      <c r="L54" s="90">
        <v>3.14</v>
      </c>
      <c r="M54" s="71" t="s">
        <v>1</v>
      </c>
      <c r="N54" s="71">
        <f>C54</f>
        <v>10</v>
      </c>
      <c r="O54" s="71" t="s">
        <v>1</v>
      </c>
      <c r="P54" s="71">
        <f>C54</f>
        <v>10</v>
      </c>
      <c r="Q54" s="473" t="s">
        <v>0</v>
      </c>
      <c r="R54" s="472">
        <f>L54*N54*P54/4</f>
        <v>78.5</v>
      </c>
      <c r="S54" s="474" t="s">
        <v>160</v>
      </c>
      <c r="T54" s="59"/>
    </row>
    <row r="55" spans="2:20" ht="12.75">
      <c r="B55" s="467"/>
      <c r="C55" s="468"/>
      <c r="D55" s="467"/>
      <c r="E55" s="467"/>
      <c r="F55" s="467"/>
      <c r="G55" s="473"/>
      <c r="H55" s="68" t="s">
        <v>7</v>
      </c>
      <c r="I55" s="68"/>
      <c r="J55" s="70"/>
      <c r="K55" s="473"/>
      <c r="L55" s="70"/>
      <c r="M55" s="70">
        <v>4</v>
      </c>
      <c r="N55" s="68" t="s">
        <v>1</v>
      </c>
      <c r="O55" s="476">
        <v>100</v>
      </c>
      <c r="P55" s="476"/>
      <c r="Q55" s="473"/>
      <c r="R55" s="472"/>
      <c r="S55" s="474"/>
      <c r="T55" s="59"/>
    </row>
    <row r="56" spans="2:19" ht="12.75">
      <c r="B56" s="467" t="s">
        <v>149</v>
      </c>
      <c r="C56" s="467"/>
      <c r="D56" s="467"/>
      <c r="E56" s="467" t="s">
        <v>148</v>
      </c>
      <c r="F56" s="467"/>
      <c r="G56" s="69" t="s">
        <v>0</v>
      </c>
      <c r="H56" s="62">
        <f>R54</f>
        <v>78.5</v>
      </c>
      <c r="I56" s="22" t="s">
        <v>1</v>
      </c>
      <c r="J56" s="22">
        <v>1000</v>
      </c>
      <c r="K56" s="68" t="s">
        <v>2</v>
      </c>
      <c r="L56" s="62">
        <f>L52</f>
        <v>280.415496350833</v>
      </c>
      <c r="M56" s="67"/>
      <c r="N56" s="67"/>
      <c r="O56" s="67"/>
      <c r="P56" s="67"/>
      <c r="Q56" s="69" t="s">
        <v>0</v>
      </c>
      <c r="R56" s="62">
        <f>H56*J56/L56</f>
        <v>279.9417329696616</v>
      </c>
      <c r="S56" s="68" t="s">
        <v>20</v>
      </c>
    </row>
    <row r="57" spans="2:20" ht="15" customHeight="1">
      <c r="B57" s="493" t="s">
        <v>146</v>
      </c>
      <c r="C57" s="493"/>
      <c r="D57" s="493"/>
      <c r="E57" s="493"/>
      <c r="F57" s="493"/>
      <c r="G57" s="91" t="s">
        <v>0</v>
      </c>
      <c r="H57" s="130">
        <f>R5</f>
        <v>250</v>
      </c>
      <c r="I57" s="93" t="s">
        <v>147</v>
      </c>
      <c r="J57" s="93"/>
      <c r="K57" s="77"/>
      <c r="L57" s="68"/>
      <c r="M57" s="70"/>
      <c r="N57" s="70"/>
      <c r="O57" s="70"/>
      <c r="P57" s="70"/>
      <c r="Q57" s="70"/>
      <c r="R57" s="70"/>
      <c r="S57" s="70"/>
      <c r="T57" s="59"/>
    </row>
    <row r="58" spans="2:20" ht="14.25">
      <c r="B58" s="87" t="s">
        <v>150</v>
      </c>
      <c r="C58" s="27"/>
      <c r="D58" s="68"/>
      <c r="E58" s="69" t="s">
        <v>0</v>
      </c>
      <c r="F58" s="68">
        <v>1.2</v>
      </c>
      <c r="G58" s="68" t="s">
        <v>1</v>
      </c>
      <c r="H58" s="62">
        <f>H51</f>
        <v>80</v>
      </c>
      <c r="I58" s="69" t="s">
        <v>0</v>
      </c>
      <c r="J58" s="68">
        <f>H58*F58</f>
        <v>96</v>
      </c>
      <c r="K58" s="470" t="s">
        <v>156</v>
      </c>
      <c r="L58" s="470"/>
      <c r="M58" s="68"/>
      <c r="N58" s="68"/>
      <c r="O58" s="68"/>
      <c r="P58" s="68"/>
      <c r="Q58" s="68"/>
      <c r="R58" s="68"/>
      <c r="S58" s="68"/>
      <c r="T58" s="59"/>
    </row>
    <row r="59" spans="2:20" ht="14.25">
      <c r="B59" s="467" t="s">
        <v>5</v>
      </c>
      <c r="C59" s="468">
        <v>8</v>
      </c>
      <c r="D59" s="467" t="s">
        <v>158</v>
      </c>
      <c r="E59" s="467"/>
      <c r="F59" s="467" t="s">
        <v>6</v>
      </c>
      <c r="G59" s="473" t="s">
        <v>0</v>
      </c>
      <c r="H59" s="90" t="s">
        <v>159</v>
      </c>
      <c r="I59" s="90"/>
      <c r="J59" s="70"/>
      <c r="K59" s="473" t="s">
        <v>0</v>
      </c>
      <c r="L59" s="90">
        <v>3.14</v>
      </c>
      <c r="M59" s="71" t="s">
        <v>1</v>
      </c>
      <c r="N59" s="71">
        <f>C59</f>
        <v>8</v>
      </c>
      <c r="O59" s="71" t="s">
        <v>1</v>
      </c>
      <c r="P59" s="71">
        <f>C59</f>
        <v>8</v>
      </c>
      <c r="Q59" s="473" t="s">
        <v>0</v>
      </c>
      <c r="R59" s="472">
        <f>L59*N59*P59/4</f>
        <v>50.24</v>
      </c>
      <c r="S59" s="474" t="s">
        <v>160</v>
      </c>
      <c r="T59" s="59"/>
    </row>
    <row r="60" spans="2:20" ht="12.75">
      <c r="B60" s="467"/>
      <c r="C60" s="468"/>
      <c r="D60" s="467"/>
      <c r="E60" s="467"/>
      <c r="F60" s="467"/>
      <c r="G60" s="473"/>
      <c r="H60" s="68" t="s">
        <v>7</v>
      </c>
      <c r="I60" s="68"/>
      <c r="J60" s="70"/>
      <c r="K60" s="473"/>
      <c r="L60" s="70"/>
      <c r="M60" s="70">
        <v>4</v>
      </c>
      <c r="N60" s="68" t="s">
        <v>1</v>
      </c>
      <c r="O60" s="476">
        <v>100</v>
      </c>
      <c r="P60" s="476"/>
      <c r="Q60" s="473"/>
      <c r="R60" s="472"/>
      <c r="S60" s="474"/>
      <c r="T60" s="59"/>
    </row>
    <row r="61" spans="2:20" ht="12.75">
      <c r="B61" s="467" t="s">
        <v>149</v>
      </c>
      <c r="C61" s="467"/>
      <c r="D61" s="467"/>
      <c r="E61" s="467" t="s">
        <v>148</v>
      </c>
      <c r="F61" s="467"/>
      <c r="G61" s="69" t="s">
        <v>0</v>
      </c>
      <c r="H61" s="62">
        <f>R59</f>
        <v>50.24</v>
      </c>
      <c r="I61" s="22" t="s">
        <v>1</v>
      </c>
      <c r="J61" s="22">
        <v>1000</v>
      </c>
      <c r="K61" s="68" t="s">
        <v>2</v>
      </c>
      <c r="L61" s="62">
        <f>J58</f>
        <v>96</v>
      </c>
      <c r="M61" s="67"/>
      <c r="N61" s="67"/>
      <c r="O61" s="67"/>
      <c r="P61" s="67"/>
      <c r="Q61" s="69" t="s">
        <v>0</v>
      </c>
      <c r="R61" s="62">
        <f>H61*J61/L61</f>
        <v>523.3333333333334</v>
      </c>
      <c r="S61" s="68" t="s">
        <v>20</v>
      </c>
      <c r="T61" s="59"/>
    </row>
    <row r="62" spans="2:20" ht="12.75">
      <c r="B62" s="87" t="s">
        <v>331</v>
      </c>
      <c r="C62" s="68"/>
      <c r="D62" s="68"/>
      <c r="E62" s="68"/>
      <c r="F62" s="68"/>
      <c r="G62" s="69" t="s">
        <v>0</v>
      </c>
      <c r="H62" s="62">
        <v>45</v>
      </c>
      <c r="I62" s="22" t="s">
        <v>1</v>
      </c>
      <c r="J62" s="22">
        <f>C59</f>
        <v>8</v>
      </c>
      <c r="K62" s="69" t="s">
        <v>0</v>
      </c>
      <c r="L62" s="62">
        <f>J62*H62</f>
        <v>360</v>
      </c>
      <c r="M62" s="67" t="s">
        <v>152</v>
      </c>
      <c r="N62" s="67"/>
      <c r="O62" s="67"/>
      <c r="P62" s="94">
        <f>ROUNDDOWN(L62,-2)</f>
        <v>300</v>
      </c>
      <c r="Q62" s="69"/>
      <c r="R62" s="62" t="s">
        <v>20</v>
      </c>
      <c r="S62" s="68"/>
      <c r="T62" s="59"/>
    </row>
    <row r="63" spans="2:20" ht="12.75">
      <c r="B63" s="467" t="s">
        <v>146</v>
      </c>
      <c r="C63" s="467"/>
      <c r="D63" s="467"/>
      <c r="E63" s="467"/>
      <c r="F63" s="467"/>
      <c r="G63" s="91" t="s">
        <v>0</v>
      </c>
      <c r="H63" s="92">
        <f>P62</f>
        <v>300</v>
      </c>
      <c r="I63" s="93" t="s">
        <v>151</v>
      </c>
      <c r="J63" s="93"/>
      <c r="K63" s="77"/>
      <c r="L63" s="68"/>
      <c r="M63" s="70"/>
      <c r="N63" s="70"/>
      <c r="O63" s="70"/>
      <c r="P63" s="70"/>
      <c r="Q63" s="70"/>
      <c r="R63" s="70"/>
      <c r="S63" s="64"/>
      <c r="T63" s="59"/>
    </row>
    <row r="64" spans="2:20" ht="12.75">
      <c r="B64" s="87"/>
      <c r="C64" s="27"/>
      <c r="D64" s="68"/>
      <c r="E64" s="69"/>
      <c r="F64" s="68"/>
      <c r="G64" s="68"/>
      <c r="H64" s="62"/>
      <c r="I64" s="69"/>
      <c r="J64" s="68"/>
      <c r="K64" s="87"/>
      <c r="L64" s="87"/>
      <c r="M64" s="68"/>
      <c r="N64" s="68"/>
      <c r="O64" s="68"/>
      <c r="P64" s="68"/>
      <c r="Q64" s="68"/>
      <c r="R64" s="68"/>
      <c r="S64" s="58"/>
      <c r="T64" s="59"/>
    </row>
    <row r="65" spans="1:20" ht="12.75">
      <c r="A65">
        <v>4</v>
      </c>
      <c r="B65" s="26" t="s">
        <v>153</v>
      </c>
      <c r="C65" s="27"/>
      <c r="D65" s="68"/>
      <c r="E65" s="69"/>
      <c r="F65" s="68"/>
      <c r="G65" s="68"/>
      <c r="H65" s="62"/>
      <c r="I65" s="69"/>
      <c r="J65" s="68"/>
      <c r="K65" s="87"/>
      <c r="L65" s="87"/>
      <c r="M65" s="68"/>
      <c r="N65" s="68"/>
      <c r="O65" s="68"/>
      <c r="P65" s="68"/>
      <c r="Q65" s="68"/>
      <c r="R65" s="68"/>
      <c r="S65" s="58"/>
      <c r="T65" s="59"/>
    </row>
    <row r="66" spans="2:20" ht="12.75">
      <c r="B66" s="98"/>
      <c r="C66" s="98" t="s">
        <v>181</v>
      </c>
      <c r="D66" s="99"/>
      <c r="E66" s="60"/>
      <c r="F66" s="61"/>
      <c r="G66" s="61"/>
      <c r="H66" s="102"/>
      <c r="I66" s="60"/>
      <c r="J66" s="61"/>
      <c r="K66" s="98"/>
      <c r="L66" s="98"/>
      <c r="M66" s="61"/>
      <c r="N66" s="61"/>
      <c r="O66" s="61"/>
      <c r="P66" s="61"/>
      <c r="Q66" s="61"/>
      <c r="R66" s="61"/>
      <c r="S66" s="61"/>
      <c r="T66" s="99"/>
    </row>
    <row r="67" spans="2:20" ht="12.75">
      <c r="B67" s="98" t="s">
        <v>182</v>
      </c>
      <c r="C67" s="27"/>
      <c r="D67" s="67"/>
      <c r="E67" s="69"/>
      <c r="F67" s="68"/>
      <c r="G67" s="68"/>
      <c r="H67" s="62"/>
      <c r="I67" s="69"/>
      <c r="J67" s="68"/>
      <c r="K67" s="87"/>
      <c r="L67" s="87"/>
      <c r="M67" s="68"/>
      <c r="N67" s="68"/>
      <c r="O67" s="68"/>
      <c r="P67" s="68"/>
      <c r="Q67" s="68"/>
      <c r="R67" s="68"/>
      <c r="S67" s="68"/>
      <c r="T67" s="67"/>
    </row>
    <row r="68" spans="2:20" ht="12.75">
      <c r="B68" s="467" t="s">
        <v>161</v>
      </c>
      <c r="C68" s="467"/>
      <c r="D68" s="467"/>
      <c r="E68" s="492" t="s">
        <v>0</v>
      </c>
      <c r="F68" s="489">
        <f>'DATA sheet'!X7</f>
        <v>1.5</v>
      </c>
      <c r="G68" s="473" t="s">
        <v>18</v>
      </c>
      <c r="H68" s="68">
        <f>H40/1000</f>
        <v>0.2</v>
      </c>
      <c r="I68" s="473" t="s">
        <v>3</v>
      </c>
      <c r="J68" s="489">
        <f>'DATA sheet'!K23</f>
        <v>2.25</v>
      </c>
      <c r="K68" s="473" t="s">
        <v>3</v>
      </c>
      <c r="L68" s="96">
        <f>'DATA sheet'!AD7</f>
        <v>1.4500000000000002</v>
      </c>
      <c r="M68" s="473" t="s">
        <v>0</v>
      </c>
      <c r="N68" s="489">
        <f>(F68-H68/H69)+J68+L68/L69</f>
        <v>4.375</v>
      </c>
      <c r="O68" s="467" t="s">
        <v>13</v>
      </c>
      <c r="P68" s="68"/>
      <c r="Q68" s="68"/>
      <c r="R68" s="68"/>
      <c r="S68" s="68"/>
      <c r="T68" s="67"/>
    </row>
    <row r="69" spans="2:20" ht="12.75">
      <c r="B69" s="467"/>
      <c r="C69" s="467"/>
      <c r="D69" s="467"/>
      <c r="E69" s="493"/>
      <c r="F69" s="489"/>
      <c r="G69" s="473"/>
      <c r="H69" s="95">
        <v>2</v>
      </c>
      <c r="I69" s="467"/>
      <c r="J69" s="489"/>
      <c r="K69" s="473"/>
      <c r="L69" s="95">
        <v>2</v>
      </c>
      <c r="M69" s="473"/>
      <c r="N69" s="489"/>
      <c r="O69" s="467"/>
      <c r="P69" s="68"/>
      <c r="Q69" s="68"/>
      <c r="R69" s="68"/>
      <c r="S69" s="68"/>
      <c r="T69" s="67"/>
    </row>
    <row r="70" spans="2:20" ht="12.75">
      <c r="B70" s="67"/>
      <c r="C70" s="27"/>
      <c r="D70" s="104" t="s">
        <v>164</v>
      </c>
      <c r="E70" s="69"/>
      <c r="F70" s="68"/>
      <c r="G70" s="68"/>
      <c r="H70" s="62"/>
      <c r="I70" s="69"/>
      <c r="J70" s="68"/>
      <c r="K70" s="87"/>
      <c r="L70" s="87"/>
      <c r="M70" s="67"/>
      <c r="N70" s="70"/>
      <c r="O70" s="67"/>
      <c r="P70" s="68"/>
      <c r="Q70" s="68"/>
      <c r="R70" s="68"/>
      <c r="S70" s="67"/>
      <c r="T70" s="67"/>
    </row>
    <row r="71" spans="2:20" ht="12.75">
      <c r="B71" s="67"/>
      <c r="C71" s="467" t="s">
        <v>165</v>
      </c>
      <c r="D71" s="467"/>
      <c r="E71" s="467"/>
      <c r="F71" s="467"/>
      <c r="G71" s="467"/>
      <c r="H71" s="68">
        <f>H40</f>
        <v>200</v>
      </c>
      <c r="I71" s="87" t="s">
        <v>162</v>
      </c>
      <c r="J71" s="68"/>
      <c r="K71" s="87"/>
      <c r="L71" s="68">
        <f>H71</f>
        <v>200</v>
      </c>
      <c r="M71" s="87" t="s">
        <v>163</v>
      </c>
      <c r="N71" s="68"/>
      <c r="O71" s="68"/>
      <c r="P71" s="68"/>
      <c r="Q71" s="68"/>
      <c r="R71" s="68"/>
      <c r="S71" s="68"/>
      <c r="T71" s="67"/>
    </row>
    <row r="72" spans="2:20" ht="12.75">
      <c r="B72" s="87" t="s">
        <v>166</v>
      </c>
      <c r="C72" s="27"/>
      <c r="D72" s="68"/>
      <c r="E72" s="69" t="s">
        <v>0</v>
      </c>
      <c r="F72" s="96">
        <f>H71/1000</f>
        <v>0.2</v>
      </c>
      <c r="G72" s="68" t="s">
        <v>1</v>
      </c>
      <c r="H72" s="96">
        <f>L71/1000</f>
        <v>0.2</v>
      </c>
      <c r="I72" s="68" t="s">
        <v>1</v>
      </c>
      <c r="J72" s="68">
        <f>L12</f>
        <v>25000</v>
      </c>
      <c r="K72" s="87" t="s">
        <v>1</v>
      </c>
      <c r="L72" s="105">
        <f>H25</f>
        <v>1.19</v>
      </c>
      <c r="M72" s="69" t="s">
        <v>0</v>
      </c>
      <c r="N72" s="467">
        <f>J72*H72*F72*L72</f>
        <v>1190</v>
      </c>
      <c r="O72" s="467"/>
      <c r="P72" s="68" t="s">
        <v>129</v>
      </c>
      <c r="Q72" s="68"/>
      <c r="R72" s="68"/>
      <c r="S72" s="68"/>
      <c r="T72" s="67"/>
    </row>
    <row r="73" spans="2:20" ht="12.75">
      <c r="B73" s="87" t="s">
        <v>167</v>
      </c>
      <c r="C73" s="27"/>
      <c r="D73" s="68"/>
      <c r="E73" s="69" t="s">
        <v>0</v>
      </c>
      <c r="F73" s="68">
        <f>P33</f>
        <v>8480</v>
      </c>
      <c r="G73" s="68" t="s">
        <v>1</v>
      </c>
      <c r="H73" s="62">
        <v>1</v>
      </c>
      <c r="I73" s="68" t="s">
        <v>1</v>
      </c>
      <c r="J73" s="96">
        <f>F68</f>
        <v>1.5</v>
      </c>
      <c r="K73" s="87"/>
      <c r="L73" s="87"/>
      <c r="M73" s="69" t="s">
        <v>0</v>
      </c>
      <c r="N73" s="467">
        <f>J73*H73*F73</f>
        <v>12720</v>
      </c>
      <c r="O73" s="467"/>
      <c r="P73" s="68" t="s">
        <v>129</v>
      </c>
      <c r="Q73" s="68"/>
      <c r="R73" s="68"/>
      <c r="S73" s="68"/>
      <c r="T73" s="67"/>
    </row>
    <row r="74" spans="2:20" ht="12.75">
      <c r="B74" s="87"/>
      <c r="C74" s="27"/>
      <c r="D74" s="68"/>
      <c r="E74" s="69"/>
      <c r="F74" s="68"/>
      <c r="G74" s="68"/>
      <c r="H74" s="62"/>
      <c r="I74" s="69"/>
      <c r="J74" s="68"/>
      <c r="K74" s="87"/>
      <c r="L74" s="97" t="s">
        <v>107</v>
      </c>
      <c r="M74" s="100" t="s">
        <v>0</v>
      </c>
      <c r="N74" s="500">
        <f>SUM(N72:N73)</f>
        <v>13910</v>
      </c>
      <c r="O74" s="500"/>
      <c r="P74" s="106" t="s">
        <v>168</v>
      </c>
      <c r="Q74" s="467">
        <f>ROUNDUP(N74,-2)</f>
        <v>14000</v>
      </c>
      <c r="R74" s="467"/>
      <c r="S74" s="70" t="s">
        <v>169</v>
      </c>
      <c r="T74" s="67"/>
    </row>
    <row r="75" spans="2:20" ht="12.75">
      <c r="B75" s="87" t="s">
        <v>170</v>
      </c>
      <c r="C75" s="27"/>
      <c r="D75" s="68"/>
      <c r="E75" s="69"/>
      <c r="F75" s="68"/>
      <c r="G75" s="68"/>
      <c r="H75" s="62"/>
      <c r="I75" s="69"/>
      <c r="J75" s="68"/>
      <c r="K75" s="87"/>
      <c r="L75" s="87"/>
      <c r="M75" s="68"/>
      <c r="N75" s="68"/>
      <c r="O75" s="68"/>
      <c r="P75" s="68"/>
      <c r="Q75" s="68"/>
      <c r="R75" s="68"/>
      <c r="S75" s="68"/>
      <c r="T75" s="67"/>
    </row>
    <row r="76" spans="2:20" ht="12.75" customHeight="1">
      <c r="B76" s="467" t="s">
        <v>22</v>
      </c>
      <c r="C76" s="492" t="s">
        <v>0</v>
      </c>
      <c r="D76" s="68" t="s">
        <v>154</v>
      </c>
      <c r="E76" s="473" t="s">
        <v>0</v>
      </c>
      <c r="F76" s="68">
        <f>Q74</f>
        <v>14000</v>
      </c>
      <c r="G76" s="68" t="s">
        <v>1</v>
      </c>
      <c r="H76" s="96">
        <f>N68</f>
        <v>4.375</v>
      </c>
      <c r="I76" s="107" t="s">
        <v>183</v>
      </c>
      <c r="J76" s="68">
        <v>1000</v>
      </c>
      <c r="K76" s="473" t="s">
        <v>0</v>
      </c>
      <c r="L76" s="467">
        <f>F76*H76^2*J76/F77</f>
        <v>26796875</v>
      </c>
      <c r="M76" s="467"/>
      <c r="N76" s="467"/>
      <c r="O76" s="467"/>
      <c r="P76" s="467">
        <f>L76/1000000</f>
        <v>26.796875</v>
      </c>
      <c r="Q76" s="467" t="s">
        <v>1</v>
      </c>
      <c r="R76" s="467" t="s">
        <v>184</v>
      </c>
      <c r="S76" s="474" t="s">
        <v>26</v>
      </c>
      <c r="T76" s="67"/>
    </row>
    <row r="77" spans="2:20" ht="12.75">
      <c r="B77" s="467"/>
      <c r="C77" s="493"/>
      <c r="D77" s="95">
        <v>10</v>
      </c>
      <c r="E77" s="473"/>
      <c r="F77" s="500">
        <v>10</v>
      </c>
      <c r="G77" s="500"/>
      <c r="H77" s="500"/>
      <c r="I77" s="500"/>
      <c r="J77" s="500"/>
      <c r="K77" s="467"/>
      <c r="L77" s="467"/>
      <c r="M77" s="467"/>
      <c r="N77" s="467"/>
      <c r="O77" s="467"/>
      <c r="P77" s="467"/>
      <c r="Q77" s="467"/>
      <c r="R77" s="467"/>
      <c r="S77" s="474"/>
      <c r="T77" s="67"/>
    </row>
    <row r="78" spans="2:20" ht="12.75">
      <c r="B78" s="87" t="s">
        <v>171</v>
      </c>
      <c r="C78" s="45" t="s">
        <v>0</v>
      </c>
      <c r="D78" s="68" t="s">
        <v>172</v>
      </c>
      <c r="E78" s="87" t="s">
        <v>173</v>
      </c>
      <c r="F78" s="68"/>
      <c r="G78" s="68"/>
      <c r="H78" s="62"/>
      <c r="I78" s="69"/>
      <c r="J78" s="68"/>
      <c r="K78" s="87"/>
      <c r="L78" s="87"/>
      <c r="M78" s="68"/>
      <c r="N78" s="68"/>
      <c r="O78" s="68"/>
      <c r="P78" s="68"/>
      <c r="Q78" s="68"/>
      <c r="R78" s="68"/>
      <c r="S78" s="68"/>
      <c r="T78" s="67"/>
    </row>
    <row r="79" spans="2:20" ht="15.75">
      <c r="B79" s="467" t="s">
        <v>22</v>
      </c>
      <c r="C79" s="492" t="s">
        <v>0</v>
      </c>
      <c r="D79" s="467" t="s">
        <v>185</v>
      </c>
      <c r="E79" s="467"/>
      <c r="F79" s="467"/>
      <c r="G79" s="467" t="s">
        <v>186</v>
      </c>
      <c r="H79" s="467"/>
      <c r="I79" s="87" t="s">
        <v>187</v>
      </c>
      <c r="J79" s="67"/>
      <c r="K79" s="87"/>
      <c r="L79" s="87"/>
      <c r="M79" s="68"/>
      <c r="N79" s="68"/>
      <c r="O79" s="68"/>
      <c r="P79" s="68"/>
      <c r="Q79" s="68"/>
      <c r="R79" s="68"/>
      <c r="S79" s="68"/>
      <c r="T79" s="67"/>
    </row>
    <row r="80" spans="2:20" ht="15.75">
      <c r="B80" s="467"/>
      <c r="C80" s="493"/>
      <c r="D80" s="467"/>
      <c r="E80" s="467"/>
      <c r="F80" s="467"/>
      <c r="G80" s="467" t="s">
        <v>188</v>
      </c>
      <c r="H80" s="467"/>
      <c r="I80" s="69"/>
      <c r="J80" s="68"/>
      <c r="K80" s="87"/>
      <c r="L80" s="87"/>
      <c r="M80" s="68"/>
      <c r="N80" s="68"/>
      <c r="O80" s="68"/>
      <c r="P80" s="68"/>
      <c r="Q80" s="68"/>
      <c r="R80" s="68"/>
      <c r="S80" s="68"/>
      <c r="T80" s="67"/>
    </row>
    <row r="81" spans="2:20" ht="12.75" customHeight="1">
      <c r="B81" s="467" t="s">
        <v>189</v>
      </c>
      <c r="C81" s="492" t="s">
        <v>0</v>
      </c>
      <c r="D81" s="512" t="s">
        <v>190</v>
      </c>
      <c r="E81" s="512"/>
      <c r="F81" s="512"/>
      <c r="G81" s="473" t="s">
        <v>3</v>
      </c>
      <c r="H81" s="483" t="s">
        <v>191</v>
      </c>
      <c r="I81" s="87" t="s">
        <v>176</v>
      </c>
      <c r="J81" s="68"/>
      <c r="K81" s="87"/>
      <c r="L81" s="96">
        <f>N68</f>
        <v>4.375</v>
      </c>
      <c r="M81" s="87" t="s">
        <v>175</v>
      </c>
      <c r="N81" s="68"/>
      <c r="O81" s="68"/>
      <c r="P81" s="68"/>
      <c r="Q81" s="68"/>
      <c r="R81" s="96">
        <f>J73</f>
        <v>1.5</v>
      </c>
      <c r="S81" s="87" t="s">
        <v>13</v>
      </c>
      <c r="T81" s="67"/>
    </row>
    <row r="82" spans="2:20" ht="12.75" customHeight="1">
      <c r="B82" s="467"/>
      <c r="C82" s="492"/>
      <c r="D82" s="95" t="s">
        <v>190</v>
      </c>
      <c r="E82" s="510" t="s">
        <v>3</v>
      </c>
      <c r="F82" s="500">
        <v>4</v>
      </c>
      <c r="G82" s="467"/>
      <c r="H82" s="483"/>
      <c r="I82" s="467" t="s">
        <v>192</v>
      </c>
      <c r="J82" s="467"/>
      <c r="K82" s="108" t="s">
        <v>0</v>
      </c>
      <c r="L82" s="105">
        <f>F72</f>
        <v>0.2</v>
      </c>
      <c r="M82" s="68" t="s">
        <v>13</v>
      </c>
      <c r="N82" s="68"/>
      <c r="O82" s="68"/>
      <c r="P82" s="68"/>
      <c r="Q82" s="68"/>
      <c r="R82" s="68"/>
      <c r="S82" s="68"/>
      <c r="T82" s="67"/>
    </row>
    <row r="83" spans="2:20" ht="12.75">
      <c r="B83" s="87"/>
      <c r="C83" s="27"/>
      <c r="D83" s="95" t="s">
        <v>174</v>
      </c>
      <c r="E83" s="488"/>
      <c r="F83" s="465"/>
      <c r="G83" s="68"/>
      <c r="H83" s="62"/>
      <c r="I83" s="69"/>
      <c r="J83" s="68"/>
      <c r="K83" s="87"/>
      <c r="L83" s="87"/>
      <c r="M83" s="68"/>
      <c r="N83" s="68"/>
      <c r="O83" s="68"/>
      <c r="P83" s="68"/>
      <c r="Q83" s="68"/>
      <c r="R83" s="68"/>
      <c r="S83" s="68"/>
      <c r="T83" s="67"/>
    </row>
    <row r="84" spans="2:20" ht="12.75">
      <c r="B84" s="467" t="s">
        <v>189</v>
      </c>
      <c r="C84" s="492" t="s">
        <v>0</v>
      </c>
      <c r="D84" s="511">
        <f>L81</f>
        <v>4.375</v>
      </c>
      <c r="E84" s="511"/>
      <c r="F84" s="511"/>
      <c r="G84" s="473" t="s">
        <v>3</v>
      </c>
      <c r="H84" s="489">
        <f>L82</f>
        <v>0.2</v>
      </c>
      <c r="I84" s="473" t="s">
        <v>0</v>
      </c>
      <c r="J84" s="509">
        <f>D84/((D85/D86)+F85)+H84</f>
        <v>0.8325301204819278</v>
      </c>
      <c r="K84" s="509"/>
      <c r="L84" s="467" t="s">
        <v>13</v>
      </c>
      <c r="M84" s="473" t="s">
        <v>0</v>
      </c>
      <c r="N84" s="483">
        <f>ROUND(J84*1000,)</f>
        <v>833</v>
      </c>
      <c r="O84" s="483"/>
      <c r="P84" s="467" t="s">
        <v>20</v>
      </c>
      <c r="Q84" s="68"/>
      <c r="R84" s="68"/>
      <c r="S84" s="68"/>
      <c r="T84" s="67"/>
    </row>
    <row r="85" spans="2:20" ht="12.75">
      <c r="B85" s="467"/>
      <c r="C85" s="493"/>
      <c r="D85" s="109">
        <f>L81</f>
        <v>4.375</v>
      </c>
      <c r="E85" s="510" t="s">
        <v>3</v>
      </c>
      <c r="F85" s="500">
        <v>4</v>
      </c>
      <c r="G85" s="467"/>
      <c r="H85" s="489"/>
      <c r="I85" s="473"/>
      <c r="J85" s="509"/>
      <c r="K85" s="509"/>
      <c r="L85" s="467"/>
      <c r="M85" s="467"/>
      <c r="N85" s="483"/>
      <c r="O85" s="483"/>
      <c r="P85" s="467"/>
      <c r="Q85" s="68"/>
      <c r="R85" s="68"/>
      <c r="S85" s="68"/>
      <c r="T85" s="67"/>
    </row>
    <row r="86" spans="2:20" ht="12.75">
      <c r="B86" s="87"/>
      <c r="C86" s="27"/>
      <c r="D86" s="109">
        <f>R81</f>
        <v>1.5</v>
      </c>
      <c r="E86" s="488"/>
      <c r="F86" s="465"/>
      <c r="G86" s="68"/>
      <c r="H86" s="62"/>
      <c r="I86" s="69"/>
      <c r="J86" s="68"/>
      <c r="K86" s="87"/>
      <c r="L86" s="87"/>
      <c r="M86" s="68"/>
      <c r="N86" s="68"/>
      <c r="O86" s="68"/>
      <c r="P86" s="68"/>
      <c r="Q86" s="68"/>
      <c r="R86" s="68"/>
      <c r="S86" s="68"/>
      <c r="T86" s="67"/>
    </row>
    <row r="87" spans="2:20" ht="12.75">
      <c r="B87" s="504" t="s">
        <v>177</v>
      </c>
      <c r="C87" s="513" t="s">
        <v>0</v>
      </c>
      <c r="D87" s="505">
        <v>0.45</v>
      </c>
      <c r="E87" s="504" t="s">
        <v>1</v>
      </c>
      <c r="F87" s="506">
        <f>N84</f>
        <v>833</v>
      </c>
      <c r="G87" s="504" t="s">
        <v>1</v>
      </c>
      <c r="H87" s="504">
        <f>D13</f>
        <v>7</v>
      </c>
      <c r="I87" s="504" t="s">
        <v>1</v>
      </c>
      <c r="J87" s="504">
        <f>J21</f>
        <v>80</v>
      </c>
      <c r="K87" s="98" t="s">
        <v>178</v>
      </c>
      <c r="L87" s="110">
        <f>L15</f>
        <v>0.28860845628035015</v>
      </c>
      <c r="M87" s="61" t="s">
        <v>180</v>
      </c>
      <c r="N87" s="61">
        <f>J21</f>
        <v>80</v>
      </c>
      <c r="O87" s="513" t="s">
        <v>0</v>
      </c>
      <c r="P87" s="504">
        <f>L76</f>
        <v>26796875</v>
      </c>
      <c r="Q87" s="504"/>
      <c r="R87" s="504"/>
      <c r="S87" s="504"/>
      <c r="T87" s="59"/>
    </row>
    <row r="88" spans="2:20" ht="12.75">
      <c r="B88" s="504"/>
      <c r="C88" s="513"/>
      <c r="D88" s="505"/>
      <c r="E88" s="504"/>
      <c r="F88" s="506"/>
      <c r="G88" s="504"/>
      <c r="H88" s="504"/>
      <c r="I88" s="504"/>
      <c r="J88" s="504"/>
      <c r="K88" s="507">
        <f>L87</f>
        <v>0.28860845628035015</v>
      </c>
      <c r="L88" s="508"/>
      <c r="M88" s="508"/>
      <c r="N88" s="508"/>
      <c r="O88" s="504"/>
      <c r="P88" s="504"/>
      <c r="Q88" s="504"/>
      <c r="R88" s="504"/>
      <c r="S88" s="504"/>
      <c r="T88" s="59"/>
    </row>
    <row r="89" spans="2:20" ht="12.75">
      <c r="B89" s="491" t="s">
        <v>194</v>
      </c>
      <c r="C89" s="111"/>
      <c r="D89" s="465">
        <f>D87*F87*H87*J87</f>
        <v>209916.00000000003</v>
      </c>
      <c r="E89" s="465"/>
      <c r="F89" s="68">
        <v>2</v>
      </c>
      <c r="G89" s="101" t="s">
        <v>1</v>
      </c>
      <c r="H89" s="101">
        <f>L87</f>
        <v>0.28860845628035015</v>
      </c>
      <c r="I89" s="68" t="s">
        <v>180</v>
      </c>
      <c r="J89" s="75">
        <f>N87</f>
        <v>80</v>
      </c>
      <c r="K89" s="488" t="s">
        <v>0</v>
      </c>
      <c r="L89" s="465">
        <f>P87</f>
        <v>26796875</v>
      </c>
      <c r="M89" s="465"/>
      <c r="N89" s="465"/>
      <c r="O89" s="77"/>
      <c r="P89" s="70"/>
      <c r="Q89" s="68"/>
      <c r="R89" s="68"/>
      <c r="S89" s="68"/>
      <c r="T89" s="59"/>
    </row>
    <row r="90" spans="2:20" ht="12.75">
      <c r="B90" s="536"/>
      <c r="C90" s="112"/>
      <c r="D90" s="465"/>
      <c r="E90" s="465"/>
      <c r="F90" s="537">
        <f>K88</f>
        <v>0.28860845628035015</v>
      </c>
      <c r="G90" s="500"/>
      <c r="H90" s="500"/>
      <c r="I90" s="500"/>
      <c r="J90" s="113"/>
      <c r="K90" s="465"/>
      <c r="L90" s="465"/>
      <c r="M90" s="465"/>
      <c r="N90" s="465"/>
      <c r="O90" s="70"/>
      <c r="P90" s="70"/>
      <c r="Q90" s="68"/>
      <c r="R90" s="68"/>
      <c r="S90" s="68"/>
      <c r="T90" s="59"/>
    </row>
    <row r="91" spans="2:20" ht="12.75">
      <c r="B91" s="491" t="s">
        <v>194</v>
      </c>
      <c r="C91" s="488"/>
      <c r="D91" s="465" t="s">
        <v>193</v>
      </c>
      <c r="E91" s="488" t="s">
        <v>18</v>
      </c>
      <c r="F91" s="75">
        <f>J89</f>
        <v>80</v>
      </c>
      <c r="G91" s="488" t="s">
        <v>0</v>
      </c>
      <c r="H91" s="498">
        <f>L89/D89</f>
        <v>127.65522875816991</v>
      </c>
      <c r="I91" s="498"/>
      <c r="J91" s="498"/>
      <c r="K91" s="75"/>
      <c r="L91" s="75"/>
      <c r="M91" s="75"/>
      <c r="N91" s="75"/>
      <c r="O91" s="70"/>
      <c r="P91" s="70"/>
      <c r="Q91" s="68"/>
      <c r="R91" s="68"/>
      <c r="S91" s="68"/>
      <c r="T91" s="59"/>
    </row>
    <row r="92" spans="2:20" ht="12.75">
      <c r="B92" s="491"/>
      <c r="C92" s="488"/>
      <c r="D92" s="465"/>
      <c r="E92" s="488"/>
      <c r="F92" s="103">
        <f>K88</f>
        <v>0.28860845628035015</v>
      </c>
      <c r="G92" s="465"/>
      <c r="H92" s="498"/>
      <c r="I92" s="498"/>
      <c r="J92" s="498"/>
      <c r="K92" s="75"/>
      <c r="L92" s="75"/>
      <c r="M92" s="75"/>
      <c r="N92" s="75"/>
      <c r="O92" s="70"/>
      <c r="P92" s="70"/>
      <c r="Q92" s="68"/>
      <c r="R92" s="68"/>
      <c r="S92" s="68"/>
      <c r="T92" s="59"/>
    </row>
    <row r="93" spans="2:20" ht="12.75">
      <c r="B93" s="465" t="s">
        <v>179</v>
      </c>
      <c r="C93" s="488" t="s">
        <v>0</v>
      </c>
      <c r="D93" s="114">
        <f>H91</f>
        <v>127.65522875816991</v>
      </c>
      <c r="E93" s="78" t="s">
        <v>3</v>
      </c>
      <c r="F93" s="75">
        <f>F91/F92</f>
        <v>277.19215518165254</v>
      </c>
      <c r="G93" s="488" t="s">
        <v>0</v>
      </c>
      <c r="H93" s="498">
        <f>ROUND((D93+F93)/D94,)</f>
        <v>202</v>
      </c>
      <c r="I93" s="498"/>
      <c r="J93" s="498" t="s">
        <v>20</v>
      </c>
      <c r="K93" s="67"/>
      <c r="L93" s="67"/>
      <c r="M93" s="67"/>
      <c r="N93" s="67"/>
      <c r="O93" s="67"/>
      <c r="P93" s="67"/>
      <c r="Q93" s="68"/>
      <c r="R93" s="68"/>
      <c r="S93" s="68"/>
      <c r="T93" s="59"/>
    </row>
    <row r="94" spans="2:20" ht="12.75">
      <c r="B94" s="465"/>
      <c r="C94" s="488"/>
      <c r="D94" s="500">
        <v>2</v>
      </c>
      <c r="E94" s="500"/>
      <c r="F94" s="500"/>
      <c r="G94" s="488"/>
      <c r="H94" s="498"/>
      <c r="I94" s="498"/>
      <c r="J94" s="498"/>
      <c r="K94" s="67"/>
      <c r="L94" s="67"/>
      <c r="M94" s="67"/>
      <c r="N94" s="67"/>
      <c r="O94" s="67"/>
      <c r="P94" s="67"/>
      <c r="Q94" s="68"/>
      <c r="R94" s="68"/>
      <c r="S94" s="68"/>
      <c r="T94" s="59"/>
    </row>
    <row r="95" spans="2:20" ht="12.75" customHeight="1">
      <c r="B95" s="538" t="s">
        <v>196</v>
      </c>
      <c r="C95" s="539" t="s">
        <v>0</v>
      </c>
      <c r="D95" s="465" t="s">
        <v>216</v>
      </c>
      <c r="E95" s="465"/>
      <c r="F95" s="119"/>
      <c r="G95" s="119"/>
      <c r="H95" s="119" t="s">
        <v>217</v>
      </c>
      <c r="I95" s="120"/>
      <c r="J95" s="112"/>
      <c r="K95" s="120"/>
      <c r="L95" s="121"/>
      <c r="M95" s="120"/>
      <c r="N95" s="112"/>
      <c r="O95" s="68"/>
      <c r="P95" s="68"/>
      <c r="Q95" s="68"/>
      <c r="R95" s="68"/>
      <c r="S95" s="68"/>
      <c r="T95" s="59"/>
    </row>
    <row r="96" spans="2:20" ht="12" customHeight="1">
      <c r="B96" s="465"/>
      <c r="C96" s="540"/>
      <c r="D96" s="500" t="s">
        <v>218</v>
      </c>
      <c r="E96" s="500"/>
      <c r="F96" s="122"/>
      <c r="G96" s="112"/>
      <c r="H96" s="112"/>
      <c r="I96" s="120"/>
      <c r="J96" s="112"/>
      <c r="K96" s="112"/>
      <c r="L96" s="121"/>
      <c r="M96" s="112"/>
      <c r="N96" s="112"/>
      <c r="O96" s="68"/>
      <c r="P96" s="68"/>
      <c r="Q96" s="68"/>
      <c r="R96" s="68"/>
      <c r="S96" s="68"/>
      <c r="T96" s="59"/>
    </row>
    <row r="97" spans="2:20" ht="13.5" customHeight="1">
      <c r="B97" s="467" t="s">
        <v>216</v>
      </c>
      <c r="C97" s="492" t="s">
        <v>0</v>
      </c>
      <c r="D97" s="467" t="s">
        <v>198</v>
      </c>
      <c r="E97" s="68" t="s">
        <v>100</v>
      </c>
      <c r="F97" s="68"/>
      <c r="G97" s="483" t="s">
        <v>206</v>
      </c>
      <c r="H97" s="483"/>
      <c r="I97" s="473" t="s">
        <v>0</v>
      </c>
      <c r="J97" s="68" t="s">
        <v>199</v>
      </c>
      <c r="K97" s="473" t="s">
        <v>0</v>
      </c>
      <c r="L97" s="87">
        <f>Q74</f>
        <v>14000</v>
      </c>
      <c r="M97" s="68" t="s">
        <v>1</v>
      </c>
      <c r="N97" s="96">
        <f>N68</f>
        <v>4.375</v>
      </c>
      <c r="O97" s="473" t="s">
        <v>0</v>
      </c>
      <c r="P97" s="467">
        <f>L97*N97/L98</f>
        <v>30625</v>
      </c>
      <c r="Q97" s="467"/>
      <c r="R97" s="467" t="s">
        <v>129</v>
      </c>
      <c r="S97" s="68"/>
      <c r="T97" s="59"/>
    </row>
    <row r="98" spans="2:20" ht="12.75" customHeight="1">
      <c r="B98" s="467"/>
      <c r="C98" s="493"/>
      <c r="D98" s="467"/>
      <c r="E98" s="95" t="s">
        <v>219</v>
      </c>
      <c r="F98" s="68"/>
      <c r="G98" s="483"/>
      <c r="H98" s="483"/>
      <c r="I98" s="467"/>
      <c r="J98" s="100">
        <v>2</v>
      </c>
      <c r="K98" s="467"/>
      <c r="L98" s="500">
        <v>2</v>
      </c>
      <c r="M98" s="500"/>
      <c r="N98" s="500"/>
      <c r="O98" s="467"/>
      <c r="P98" s="467"/>
      <c r="Q98" s="467"/>
      <c r="R98" s="467"/>
      <c r="S98" s="68"/>
      <c r="T98" s="59"/>
    </row>
    <row r="99" spans="2:20" ht="12.75">
      <c r="B99" s="499" t="s">
        <v>200</v>
      </c>
      <c r="C99" s="499"/>
      <c r="D99" s="499"/>
      <c r="E99" s="499"/>
      <c r="F99" s="499"/>
      <c r="G99" s="499"/>
      <c r="H99" s="499"/>
      <c r="I99" s="499"/>
      <c r="J99" s="499"/>
      <c r="K99" s="499"/>
      <c r="L99" s="499"/>
      <c r="M99" s="499"/>
      <c r="N99" s="499"/>
      <c r="O99" s="499"/>
      <c r="P99" s="499"/>
      <c r="Q99" s="499"/>
      <c r="R99" s="499"/>
      <c r="S99" s="68"/>
      <c r="T99" s="59"/>
    </row>
    <row r="100" spans="2:20" ht="14.25" customHeight="1">
      <c r="B100" s="467" t="s">
        <v>100</v>
      </c>
      <c r="C100" s="492" t="s">
        <v>0</v>
      </c>
      <c r="D100" s="62">
        <f>F6</f>
        <v>4000</v>
      </c>
      <c r="E100" s="75" t="s">
        <v>1</v>
      </c>
      <c r="F100" s="96">
        <f>J43</f>
        <v>0.6</v>
      </c>
      <c r="G100" s="496" t="s">
        <v>220</v>
      </c>
      <c r="H100" s="96">
        <f>N97</f>
        <v>4.375</v>
      </c>
      <c r="I100" s="465" t="s">
        <v>1</v>
      </c>
      <c r="J100" s="467">
        <v>1000</v>
      </c>
      <c r="K100" s="473" t="s">
        <v>0</v>
      </c>
      <c r="L100" s="465">
        <f>(D100*F100^2/D101)*H100/H101*J100</f>
        <v>1575000</v>
      </c>
      <c r="M100" s="465"/>
      <c r="N100" s="465" t="s">
        <v>26</v>
      </c>
      <c r="O100" s="68"/>
      <c r="P100" s="68"/>
      <c r="Q100" s="68"/>
      <c r="R100" s="68"/>
      <c r="S100" s="68"/>
      <c r="T100" s="59"/>
    </row>
    <row r="101" spans="2:20" ht="12.75">
      <c r="B101" s="467"/>
      <c r="C101" s="492"/>
      <c r="D101" s="500">
        <v>2</v>
      </c>
      <c r="E101" s="500"/>
      <c r="F101" s="500"/>
      <c r="G101" s="497"/>
      <c r="H101" s="113">
        <v>2</v>
      </c>
      <c r="I101" s="488"/>
      <c r="J101" s="467"/>
      <c r="K101" s="467"/>
      <c r="L101" s="465"/>
      <c r="M101" s="465"/>
      <c r="N101" s="465"/>
      <c r="O101" s="68"/>
      <c r="P101" s="68"/>
      <c r="Q101" s="68"/>
      <c r="R101" s="68"/>
      <c r="S101" s="68"/>
      <c r="T101" s="59"/>
    </row>
    <row r="102" spans="2:20" ht="12.75">
      <c r="B102" s="467" t="s">
        <v>201</v>
      </c>
      <c r="C102" s="492" t="s">
        <v>203</v>
      </c>
      <c r="D102" s="483">
        <f>H38</f>
        <v>4000</v>
      </c>
      <c r="E102" s="465" t="s">
        <v>1</v>
      </c>
      <c r="F102" s="489">
        <f>F100</f>
        <v>0.6</v>
      </c>
      <c r="G102" s="483" t="s">
        <v>202</v>
      </c>
      <c r="H102" s="116">
        <f>H100</f>
        <v>4.375</v>
      </c>
      <c r="I102" s="465" t="s">
        <v>1</v>
      </c>
      <c r="J102" s="467">
        <v>1000</v>
      </c>
      <c r="K102" s="473" t="s">
        <v>0</v>
      </c>
      <c r="L102" s="465">
        <f>(D102*F102)*H102/H103*J102</f>
        <v>5250000</v>
      </c>
      <c r="M102" s="465"/>
      <c r="N102" s="465" t="s">
        <v>26</v>
      </c>
      <c r="O102" s="68"/>
      <c r="P102" s="68"/>
      <c r="Q102" s="68"/>
      <c r="R102" s="68"/>
      <c r="S102" s="68"/>
      <c r="T102" s="59"/>
    </row>
    <row r="103" spans="2:20" ht="12.75">
      <c r="B103" s="467"/>
      <c r="C103" s="492"/>
      <c r="D103" s="483"/>
      <c r="E103" s="465"/>
      <c r="F103" s="467"/>
      <c r="G103" s="483"/>
      <c r="H103" s="113">
        <f>H101</f>
        <v>2</v>
      </c>
      <c r="I103" s="488"/>
      <c r="J103" s="467"/>
      <c r="K103" s="467"/>
      <c r="L103" s="465"/>
      <c r="M103" s="465"/>
      <c r="N103" s="465"/>
      <c r="O103" s="68"/>
      <c r="P103" s="68"/>
      <c r="Q103" s="68"/>
      <c r="R103" s="68"/>
      <c r="S103" s="68"/>
      <c r="T103" s="59"/>
    </row>
    <row r="104" spans="2:20" ht="12.75" customHeight="1">
      <c r="B104" s="123" t="s">
        <v>205</v>
      </c>
      <c r="C104" s="45" t="s">
        <v>0</v>
      </c>
      <c r="D104" s="467">
        <f>MAX(L100,L102)</f>
        <v>5250000</v>
      </c>
      <c r="E104" s="467"/>
      <c r="F104" s="87" t="s">
        <v>204</v>
      </c>
      <c r="G104" s="62"/>
      <c r="H104" s="62"/>
      <c r="I104" s="78"/>
      <c r="J104" s="68"/>
      <c r="K104" s="68"/>
      <c r="L104" s="75"/>
      <c r="M104" s="75"/>
      <c r="N104" s="75"/>
      <c r="O104" s="68"/>
      <c r="P104" s="68"/>
      <c r="Q104" s="68"/>
      <c r="R104" s="68"/>
      <c r="S104" s="68"/>
      <c r="T104" s="59"/>
    </row>
    <row r="105" spans="2:20" ht="12.75" customHeight="1">
      <c r="B105" s="467" t="s">
        <v>197</v>
      </c>
      <c r="C105" s="492" t="s">
        <v>0</v>
      </c>
      <c r="D105" s="467">
        <f>P97</f>
        <v>30625</v>
      </c>
      <c r="E105" s="488" t="s">
        <v>3</v>
      </c>
      <c r="F105" s="467">
        <v>1.6</v>
      </c>
      <c r="G105" s="483" t="s">
        <v>1</v>
      </c>
      <c r="H105" s="483">
        <f>L102</f>
        <v>5250000</v>
      </c>
      <c r="I105" s="483"/>
      <c r="J105" s="68"/>
      <c r="K105" s="473" t="s">
        <v>0</v>
      </c>
      <c r="L105" s="465">
        <f>D105+F105*H105/H106</f>
        <v>72625</v>
      </c>
      <c r="M105" s="465"/>
      <c r="N105" s="465" t="s">
        <v>129</v>
      </c>
      <c r="O105" s="68"/>
      <c r="P105" s="68"/>
      <c r="Q105" s="68"/>
      <c r="R105" s="68"/>
      <c r="S105" s="68"/>
      <c r="T105" s="59"/>
    </row>
    <row r="106" spans="2:20" ht="12.75" customHeight="1">
      <c r="B106" s="467"/>
      <c r="C106" s="493"/>
      <c r="D106" s="467"/>
      <c r="E106" s="488"/>
      <c r="F106" s="467"/>
      <c r="G106" s="483"/>
      <c r="H106" s="541">
        <f>H71</f>
        <v>200</v>
      </c>
      <c r="I106" s="541"/>
      <c r="J106" s="68"/>
      <c r="K106" s="467"/>
      <c r="L106" s="465"/>
      <c r="M106" s="465"/>
      <c r="N106" s="465"/>
      <c r="O106" s="68"/>
      <c r="P106" s="68"/>
      <c r="Q106" s="68"/>
      <c r="R106" s="68"/>
      <c r="S106" s="68"/>
      <c r="T106" s="59"/>
    </row>
    <row r="107" spans="2:20" ht="12.75" customHeight="1">
      <c r="B107" s="467" t="s">
        <v>207</v>
      </c>
      <c r="C107" s="492" t="s">
        <v>0</v>
      </c>
      <c r="D107" s="467">
        <f>L105</f>
        <v>72625</v>
      </c>
      <c r="E107" s="467"/>
      <c r="F107" s="467"/>
      <c r="G107" s="473" t="s">
        <v>0</v>
      </c>
      <c r="H107" s="543">
        <f>ROUND(D107/(D108*F108),)</f>
        <v>227</v>
      </c>
      <c r="I107" s="542" t="s">
        <v>209</v>
      </c>
      <c r="J107" s="542"/>
      <c r="K107" s="467" t="s">
        <v>211</v>
      </c>
      <c r="L107" s="467"/>
      <c r="M107" s="467"/>
      <c r="N107" s="467"/>
      <c r="O107" s="467"/>
      <c r="P107" s="467"/>
      <c r="Q107" s="488" t="s">
        <v>0</v>
      </c>
      <c r="R107" s="543">
        <f>ROUNDUP(H107,-1)</f>
        <v>230</v>
      </c>
      <c r="S107" s="465" t="s">
        <v>20</v>
      </c>
      <c r="T107" s="59"/>
    </row>
    <row r="108" spans="2:20" ht="12.75" customHeight="1">
      <c r="B108" s="467"/>
      <c r="C108" s="492"/>
      <c r="D108" s="113">
        <f>H106</f>
        <v>200</v>
      </c>
      <c r="E108" s="95" t="s">
        <v>1</v>
      </c>
      <c r="F108" s="95">
        <v>1.6</v>
      </c>
      <c r="G108" s="467"/>
      <c r="H108" s="543"/>
      <c r="I108" s="542"/>
      <c r="J108" s="542"/>
      <c r="K108" s="467"/>
      <c r="L108" s="467"/>
      <c r="M108" s="467"/>
      <c r="N108" s="467"/>
      <c r="O108" s="467"/>
      <c r="P108" s="467"/>
      <c r="Q108" s="465"/>
      <c r="R108" s="465"/>
      <c r="S108" s="465"/>
      <c r="T108" s="59"/>
    </row>
    <row r="109" spans="2:20" ht="12.75" customHeight="1">
      <c r="B109" s="87"/>
      <c r="C109" s="27"/>
      <c r="D109" s="67" t="s">
        <v>212</v>
      </c>
      <c r="E109" s="124">
        <f>'DATA sheet'!I18</f>
        <v>20</v>
      </c>
      <c r="F109" s="104" t="s">
        <v>208</v>
      </c>
      <c r="G109" s="67"/>
      <c r="H109" s="67"/>
      <c r="I109" s="125">
        <f>'DATA sheet'!I21</f>
        <v>10</v>
      </c>
      <c r="J109" s="104" t="s">
        <v>221</v>
      </c>
      <c r="K109" s="62"/>
      <c r="L109" s="67"/>
      <c r="M109" s="67"/>
      <c r="N109" s="124">
        <f>'DATA sheet'!I14</f>
        <v>25</v>
      </c>
      <c r="O109" s="87" t="s">
        <v>20</v>
      </c>
      <c r="P109" s="75"/>
      <c r="Q109" s="67"/>
      <c r="R109" s="67"/>
      <c r="S109" s="67"/>
      <c r="T109" s="58"/>
    </row>
    <row r="110" spans="2:20" ht="12.75" customHeight="1">
      <c r="B110" s="61" t="s">
        <v>210</v>
      </c>
      <c r="C110" s="45" t="s">
        <v>0</v>
      </c>
      <c r="D110" s="202">
        <f>R107</f>
        <v>230</v>
      </c>
      <c r="E110" s="7" t="s">
        <v>18</v>
      </c>
      <c r="F110" s="4">
        <f>E109/2</f>
        <v>10</v>
      </c>
      <c r="G110" s="7" t="s">
        <v>18</v>
      </c>
      <c r="H110" s="4">
        <f>I109</f>
        <v>10</v>
      </c>
      <c r="I110" s="7" t="s">
        <v>18</v>
      </c>
      <c r="J110" s="4">
        <f>N109</f>
        <v>25</v>
      </c>
      <c r="K110" s="7" t="s">
        <v>0</v>
      </c>
      <c r="L110" s="6">
        <f>D110-F110-H110-J110</f>
        <v>185</v>
      </c>
      <c r="M110" t="s">
        <v>20</v>
      </c>
      <c r="Q110" s="58"/>
      <c r="R110" s="58"/>
      <c r="S110" s="58"/>
      <c r="T110" s="59"/>
    </row>
    <row r="111" spans="2:20" ht="12.75" customHeight="1">
      <c r="B111" s="477" t="s">
        <v>214</v>
      </c>
      <c r="C111" s="478" t="s">
        <v>195</v>
      </c>
      <c r="D111" s="478"/>
      <c r="E111" s="479" t="s">
        <v>0</v>
      </c>
      <c r="F111" s="471">
        <f>L76</f>
        <v>26796875</v>
      </c>
      <c r="G111" s="471"/>
      <c r="H111" s="471"/>
      <c r="I111" s="471"/>
      <c r="J111" s="471"/>
      <c r="K111" s="473" t="s">
        <v>0</v>
      </c>
      <c r="L111" s="483">
        <f>F111/F112/H112/J112</f>
        <v>696.8087626371035</v>
      </c>
      <c r="M111" s="483"/>
      <c r="N111" s="467" t="s">
        <v>156</v>
      </c>
      <c r="O111" s="67"/>
      <c r="P111" s="67"/>
      <c r="Q111" s="67"/>
      <c r="R111" s="67"/>
      <c r="S111" s="59"/>
      <c r="T111" s="59"/>
    </row>
    <row r="112" spans="2:20" ht="12.75" customHeight="1">
      <c r="B112" s="477"/>
      <c r="C112" s="481" t="s">
        <v>157</v>
      </c>
      <c r="D112" s="480"/>
      <c r="E112" s="480"/>
      <c r="F112" s="67">
        <f>F53</f>
        <v>230</v>
      </c>
      <c r="G112" s="22" t="s">
        <v>1</v>
      </c>
      <c r="H112" s="88">
        <f>H53</f>
        <v>0.9037971812398833</v>
      </c>
      <c r="I112" s="22" t="s">
        <v>1</v>
      </c>
      <c r="J112" s="83">
        <f>L110</f>
        <v>185</v>
      </c>
      <c r="K112" s="473"/>
      <c r="L112" s="483"/>
      <c r="M112" s="483"/>
      <c r="N112" s="467"/>
      <c r="O112" s="67"/>
      <c r="P112" s="67"/>
      <c r="Q112" s="67"/>
      <c r="R112" s="67"/>
      <c r="S112" s="59"/>
      <c r="T112" s="59"/>
    </row>
    <row r="113" spans="2:20" ht="12.75" customHeight="1">
      <c r="B113" s="467" t="s">
        <v>5</v>
      </c>
      <c r="C113" s="468">
        <f>E109</f>
        <v>20</v>
      </c>
      <c r="D113" s="467" t="s">
        <v>158</v>
      </c>
      <c r="E113" s="467"/>
      <c r="F113" s="467" t="s">
        <v>6</v>
      </c>
      <c r="G113" s="473" t="s">
        <v>0</v>
      </c>
      <c r="H113" s="90" t="s">
        <v>159</v>
      </c>
      <c r="I113" s="90"/>
      <c r="J113" s="70"/>
      <c r="K113" s="473" t="s">
        <v>0</v>
      </c>
      <c r="L113" s="90">
        <v>3.14</v>
      </c>
      <c r="M113" s="71" t="s">
        <v>1</v>
      </c>
      <c r="N113" s="71">
        <f>C113</f>
        <v>20</v>
      </c>
      <c r="O113" s="71" t="s">
        <v>1</v>
      </c>
      <c r="P113" s="71">
        <f>C113</f>
        <v>20</v>
      </c>
      <c r="Q113" s="473" t="s">
        <v>0</v>
      </c>
      <c r="R113" s="472">
        <f>L113*N113*P113/4</f>
        <v>314</v>
      </c>
      <c r="S113" s="474" t="s">
        <v>160</v>
      </c>
      <c r="T113" s="59"/>
    </row>
    <row r="114" spans="2:20" ht="12.75" customHeight="1">
      <c r="B114" s="467"/>
      <c r="C114" s="468"/>
      <c r="D114" s="467"/>
      <c r="E114" s="467"/>
      <c r="F114" s="467"/>
      <c r="G114" s="473"/>
      <c r="H114" s="68" t="s">
        <v>7</v>
      </c>
      <c r="I114" s="68"/>
      <c r="J114" s="70"/>
      <c r="K114" s="473"/>
      <c r="L114" s="70"/>
      <c r="M114" s="70">
        <v>4</v>
      </c>
      <c r="N114" s="68" t="s">
        <v>1</v>
      </c>
      <c r="O114" s="476">
        <v>100</v>
      </c>
      <c r="P114" s="476"/>
      <c r="Q114" s="473"/>
      <c r="R114" s="472"/>
      <c r="S114" s="474"/>
      <c r="T114" s="59"/>
    </row>
    <row r="115" spans="2:20" ht="12.75" customHeight="1">
      <c r="B115" s="467" t="s">
        <v>149</v>
      </c>
      <c r="C115" s="467"/>
      <c r="D115" s="467"/>
      <c r="E115" s="467" t="s">
        <v>215</v>
      </c>
      <c r="F115" s="467"/>
      <c r="G115" s="69" t="s">
        <v>0</v>
      </c>
      <c r="H115" s="62">
        <f>L111</f>
        <v>696.8087626371035</v>
      </c>
      <c r="I115" s="22" t="s">
        <v>2</v>
      </c>
      <c r="J115" s="83">
        <f>R113</f>
        <v>314</v>
      </c>
      <c r="K115" s="69" t="s">
        <v>0</v>
      </c>
      <c r="L115" s="62">
        <f>ROUNDUP(H115/J115,)</f>
        <v>3</v>
      </c>
      <c r="M115" s="67" t="s">
        <v>213</v>
      </c>
      <c r="N115" s="67"/>
      <c r="O115" s="67"/>
      <c r="P115" s="83">
        <f>L115+1</f>
        <v>4</v>
      </c>
      <c r="Q115" s="69"/>
      <c r="R115" s="62"/>
      <c r="S115" s="68"/>
      <c r="T115" s="59"/>
    </row>
    <row r="116" spans="2:20" ht="12.75" customHeight="1">
      <c r="B116" s="99"/>
      <c r="C116" s="504" t="s">
        <v>228</v>
      </c>
      <c r="D116" s="504"/>
      <c r="E116" s="504"/>
      <c r="F116" s="504"/>
      <c r="G116" s="126" t="s">
        <v>0</v>
      </c>
      <c r="H116" s="203">
        <f>P115</f>
        <v>4</v>
      </c>
      <c r="I116" s="118" t="s">
        <v>1</v>
      </c>
      <c r="J116" s="102">
        <f>R113</f>
        <v>314</v>
      </c>
      <c r="K116" s="60" t="s">
        <v>0</v>
      </c>
      <c r="L116" s="118">
        <f>J116*H116</f>
        <v>1256</v>
      </c>
      <c r="M116" s="127" t="s">
        <v>156</v>
      </c>
      <c r="N116" s="118"/>
      <c r="O116" s="61"/>
      <c r="P116" s="61"/>
      <c r="Q116" s="61"/>
      <c r="R116" s="61"/>
      <c r="S116" s="61"/>
      <c r="T116" s="59"/>
    </row>
    <row r="117" spans="2:20" ht="12.75" customHeight="1">
      <c r="B117" s="501" t="s">
        <v>227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9"/>
    </row>
    <row r="118" spans="2:20" ht="12.75" customHeight="1">
      <c r="B118" s="502"/>
      <c r="C118" s="502"/>
      <c r="D118" s="502"/>
      <c r="E118" s="502"/>
      <c r="F118" s="502"/>
      <c r="G118" s="502"/>
      <c r="H118" s="502"/>
      <c r="I118" s="502"/>
      <c r="J118" s="502"/>
      <c r="K118" s="502"/>
      <c r="L118" s="502"/>
      <c r="M118" s="502"/>
      <c r="N118" s="502"/>
      <c r="O118" s="502"/>
      <c r="P118" s="502"/>
      <c r="Q118" s="502"/>
      <c r="R118" s="502"/>
      <c r="S118" s="502"/>
      <c r="T118" s="59"/>
    </row>
    <row r="119" spans="2:21" ht="12.75" customHeight="1">
      <c r="B119" s="99"/>
      <c r="C119" s="27"/>
      <c r="D119" s="87" t="s">
        <v>222</v>
      </c>
      <c r="E119" s="75"/>
      <c r="F119" s="68"/>
      <c r="G119" s="62"/>
      <c r="H119" s="62"/>
      <c r="I119" s="78"/>
      <c r="J119" s="68"/>
      <c r="K119" s="68"/>
      <c r="L119" s="75"/>
      <c r="M119" s="75"/>
      <c r="N119" s="75"/>
      <c r="O119" s="68"/>
      <c r="P119" s="68"/>
      <c r="Q119" s="68"/>
      <c r="R119" s="68"/>
      <c r="S119" s="68"/>
      <c r="T119" s="495" t="s">
        <v>235</v>
      </c>
      <c r="U119" s="5" t="s">
        <v>236</v>
      </c>
    </row>
    <row r="120" spans="2:23" ht="12.75" customHeight="1">
      <c r="B120" s="68"/>
      <c r="C120" s="492" t="s">
        <v>0</v>
      </c>
      <c r="D120" s="62">
        <f>N84</f>
        <v>833</v>
      </c>
      <c r="E120" s="75" t="s">
        <v>226</v>
      </c>
      <c r="F120" s="68" t="s">
        <v>229</v>
      </c>
      <c r="G120" s="503" t="s">
        <v>0</v>
      </c>
      <c r="H120" s="489">
        <f>D14</f>
        <v>13.33</v>
      </c>
      <c r="I120" s="465" t="s">
        <v>1</v>
      </c>
      <c r="J120" s="467">
        <f>L116</f>
        <v>1256</v>
      </c>
      <c r="K120" s="467" t="s">
        <v>28</v>
      </c>
      <c r="L120" s="543">
        <f>L110</f>
        <v>185</v>
      </c>
      <c r="M120" s="488" t="s">
        <v>18</v>
      </c>
      <c r="N120" s="465" t="s">
        <v>223</v>
      </c>
      <c r="O120" s="467" t="s">
        <v>224</v>
      </c>
      <c r="P120" s="68"/>
      <c r="Q120" s="68"/>
      <c r="R120" s="68"/>
      <c r="S120" s="68"/>
      <c r="T120" s="495"/>
      <c r="U120" s="494" t="s">
        <v>234</v>
      </c>
      <c r="V120" s="494"/>
      <c r="W120" s="494"/>
    </row>
    <row r="121" spans="2:20" ht="12.75" customHeight="1">
      <c r="B121" s="68"/>
      <c r="C121" s="493"/>
      <c r="D121" s="500">
        <v>2</v>
      </c>
      <c r="E121" s="500"/>
      <c r="F121" s="500"/>
      <c r="G121" s="483"/>
      <c r="H121" s="489"/>
      <c r="I121" s="465"/>
      <c r="J121" s="467"/>
      <c r="K121" s="467"/>
      <c r="L121" s="543"/>
      <c r="M121" s="488"/>
      <c r="N121" s="465"/>
      <c r="O121" s="467"/>
      <c r="P121" s="68"/>
      <c r="Q121" s="68"/>
      <c r="R121" s="68"/>
      <c r="S121" s="68"/>
      <c r="T121" s="131"/>
    </row>
    <row r="122" spans="2:27" ht="12.75" customHeight="1">
      <c r="B122" s="68"/>
      <c r="C122" s="89" t="s">
        <v>194</v>
      </c>
      <c r="D122" s="62">
        <f>D120</f>
        <v>833</v>
      </c>
      <c r="E122" s="75" t="s">
        <v>226</v>
      </c>
      <c r="F122" s="68" t="s">
        <v>229</v>
      </c>
      <c r="G122" s="115" t="s">
        <v>0</v>
      </c>
      <c r="H122" s="483">
        <f>D121*H120*J120*L120</f>
        <v>6194717.6</v>
      </c>
      <c r="I122" s="483"/>
      <c r="J122" s="69" t="s">
        <v>18</v>
      </c>
      <c r="K122" s="467">
        <f>D121*H120*J120</f>
        <v>33484.96</v>
      </c>
      <c r="L122" s="467"/>
      <c r="M122" s="75" t="s">
        <v>223</v>
      </c>
      <c r="N122" s="75"/>
      <c r="O122" s="68"/>
      <c r="P122" s="68"/>
      <c r="Q122" s="68"/>
      <c r="R122" s="68"/>
      <c r="S122" s="68"/>
      <c r="T122" s="495" t="s">
        <v>233</v>
      </c>
      <c r="U122">
        <f>F124</f>
        <v>40.19803121248499</v>
      </c>
      <c r="V122" s="5" t="s">
        <v>231</v>
      </c>
      <c r="W122">
        <f>F124^2</f>
        <v>1615.8817133599175</v>
      </c>
      <c r="X122" s="5" t="s">
        <v>18</v>
      </c>
      <c r="Y122" s="486">
        <f>4*1*H123</f>
        <v>29746.543097238893</v>
      </c>
      <c r="Z122" s="486"/>
      <c r="AA122" t="s">
        <v>232</v>
      </c>
    </row>
    <row r="123" spans="2:27" ht="12.75" customHeight="1">
      <c r="B123" s="68"/>
      <c r="C123" s="89" t="s">
        <v>194</v>
      </c>
      <c r="D123" s="75"/>
      <c r="E123" s="67"/>
      <c r="F123" s="75" t="s">
        <v>229</v>
      </c>
      <c r="G123" s="115" t="s">
        <v>0</v>
      </c>
      <c r="H123" s="483">
        <f>H122/D122</f>
        <v>7436.635774309723</v>
      </c>
      <c r="I123" s="483"/>
      <c r="J123" s="69" t="s">
        <v>18</v>
      </c>
      <c r="K123" s="489">
        <f>K122/D122</f>
        <v>40.19803121248499</v>
      </c>
      <c r="L123" s="489"/>
      <c r="M123" s="75" t="s">
        <v>223</v>
      </c>
      <c r="N123" s="75"/>
      <c r="O123" s="68"/>
      <c r="P123" s="68"/>
      <c r="Q123" s="68"/>
      <c r="R123" s="68"/>
      <c r="S123" s="68"/>
      <c r="T123" s="495"/>
      <c r="U123" s="494" t="s">
        <v>230</v>
      </c>
      <c r="V123" s="494"/>
      <c r="W123" s="494"/>
      <c r="X123" s="494"/>
      <c r="Y123" s="494"/>
      <c r="Z123" s="494"/>
      <c r="AA123" s="494"/>
    </row>
    <row r="124" spans="2:22" ht="12.75" customHeight="1">
      <c r="B124" s="68"/>
      <c r="C124" s="89" t="s">
        <v>194</v>
      </c>
      <c r="D124" s="68" t="s">
        <v>229</v>
      </c>
      <c r="E124" s="78" t="s">
        <v>3</v>
      </c>
      <c r="F124" s="68">
        <f>K123</f>
        <v>40.19803121248499</v>
      </c>
      <c r="G124" s="62" t="s">
        <v>225</v>
      </c>
      <c r="H124" s="115" t="s">
        <v>18</v>
      </c>
      <c r="I124" s="545">
        <f>-H123</f>
        <v>-7436.635774309723</v>
      </c>
      <c r="J124" s="545"/>
      <c r="K124" s="69" t="s">
        <v>0</v>
      </c>
      <c r="L124" s="75">
        <v>0</v>
      </c>
      <c r="M124" s="75"/>
      <c r="N124" s="75"/>
      <c r="O124" s="68"/>
      <c r="P124" s="68"/>
      <c r="Q124" s="68"/>
      <c r="R124" s="68"/>
      <c r="S124" s="68"/>
      <c r="T124" s="11" t="s">
        <v>233</v>
      </c>
      <c r="U124" s="129">
        <f>-(U122-(W122+Y122)^0.5)/2</f>
        <v>68.4481819928329</v>
      </c>
      <c r="V124" t="s">
        <v>20</v>
      </c>
    </row>
    <row r="125" spans="2:20" ht="12.75" customHeight="1">
      <c r="B125" s="61"/>
      <c r="C125" s="491" t="s">
        <v>194</v>
      </c>
      <c r="D125" s="467" t="s">
        <v>223</v>
      </c>
      <c r="E125" s="488" t="s">
        <v>0</v>
      </c>
      <c r="F125" s="70">
        <f>F124</f>
        <v>40.19803121248499</v>
      </c>
      <c r="G125" s="132" t="s">
        <v>247</v>
      </c>
      <c r="H125" s="133">
        <f>F125^2</f>
        <v>1615.8817133599175</v>
      </c>
      <c r="I125" s="134" t="s">
        <v>3</v>
      </c>
      <c r="J125" s="544">
        <f>-4*1*I124</f>
        <v>29746.543097238893</v>
      </c>
      <c r="K125" s="544"/>
      <c r="L125" s="135" t="s">
        <v>232</v>
      </c>
      <c r="M125" s="136"/>
      <c r="N125" s="136"/>
      <c r="O125" s="137"/>
      <c r="P125" s="137"/>
      <c r="Q125" s="137"/>
      <c r="R125" s="137"/>
      <c r="S125" s="137"/>
      <c r="T125" s="59"/>
    </row>
    <row r="126" spans="2:20" ht="12.75" customHeight="1">
      <c r="B126" s="137"/>
      <c r="C126" s="491"/>
      <c r="D126" s="467"/>
      <c r="E126" s="488"/>
      <c r="F126" s="541" t="s">
        <v>230</v>
      </c>
      <c r="G126" s="541"/>
      <c r="H126" s="541"/>
      <c r="I126" s="541"/>
      <c r="J126" s="541"/>
      <c r="K126" s="541"/>
      <c r="L126" s="75"/>
      <c r="M126" s="75"/>
      <c r="N126" s="75"/>
      <c r="O126" s="68"/>
      <c r="P126" s="68"/>
      <c r="Q126" s="68"/>
      <c r="R126" s="68"/>
      <c r="S126" s="68"/>
      <c r="T126" s="59"/>
    </row>
    <row r="127" spans="2:20" ht="12.75" customHeight="1">
      <c r="B127" s="68"/>
      <c r="C127" s="89" t="s">
        <v>194</v>
      </c>
      <c r="D127" s="68" t="s">
        <v>223</v>
      </c>
      <c r="E127" s="78" t="s">
        <v>0</v>
      </c>
      <c r="F127" s="138">
        <f>-(F125-(H125+J125)^0.5)/2</f>
        <v>68.4481819928329</v>
      </c>
      <c r="G127" s="62" t="s">
        <v>20</v>
      </c>
      <c r="H127" s="467" t="s">
        <v>239</v>
      </c>
      <c r="I127" s="467"/>
      <c r="J127" s="467"/>
      <c r="K127" s="467"/>
      <c r="L127" s="467"/>
      <c r="M127" s="467"/>
      <c r="N127" s="467"/>
      <c r="O127" s="467"/>
      <c r="P127" s="467"/>
      <c r="Q127" s="69" t="s">
        <v>0</v>
      </c>
      <c r="R127" s="68">
        <f>F127/3</f>
        <v>22.816060664277632</v>
      </c>
      <c r="S127" s="68" t="s">
        <v>20</v>
      </c>
      <c r="T127" s="59"/>
    </row>
    <row r="128" spans="2:20" ht="12.75" customHeight="1">
      <c r="B128" s="67"/>
      <c r="C128" s="89" t="s">
        <v>194</v>
      </c>
      <c r="D128" s="68" t="s">
        <v>237</v>
      </c>
      <c r="E128" s="78" t="s">
        <v>0</v>
      </c>
      <c r="F128" s="68" t="s">
        <v>238</v>
      </c>
      <c r="G128" s="115" t="s">
        <v>0</v>
      </c>
      <c r="H128" s="62">
        <f>L120</f>
        <v>185</v>
      </c>
      <c r="I128" s="78" t="s">
        <v>18</v>
      </c>
      <c r="J128" s="68">
        <f>R127</f>
        <v>22.816060664277632</v>
      </c>
      <c r="K128" s="69" t="s">
        <v>0</v>
      </c>
      <c r="L128" s="490">
        <f>H128-J128</f>
        <v>162.18393933572236</v>
      </c>
      <c r="M128" s="490"/>
      <c r="N128" s="75" t="s">
        <v>20</v>
      </c>
      <c r="O128" s="68"/>
      <c r="P128" s="68"/>
      <c r="Q128" s="68"/>
      <c r="R128" s="68"/>
      <c r="S128" s="68"/>
      <c r="T128" s="59"/>
    </row>
    <row r="129" spans="2:20" ht="12.75" customHeight="1">
      <c r="B129" s="467" t="s">
        <v>240</v>
      </c>
      <c r="C129" s="492" t="s">
        <v>0</v>
      </c>
      <c r="D129" s="68" t="s">
        <v>22</v>
      </c>
      <c r="E129" s="488" t="s">
        <v>0</v>
      </c>
      <c r="F129" s="483">
        <f>F111</f>
        <v>26796875</v>
      </c>
      <c r="G129" s="483"/>
      <c r="H129" s="483"/>
      <c r="I129" s="78"/>
      <c r="J129" s="68"/>
      <c r="K129" s="473" t="s">
        <v>0</v>
      </c>
      <c r="L129" s="543">
        <f>F129/(F130*H130)</f>
        <v>131.54873193914537</v>
      </c>
      <c r="M129" s="543"/>
      <c r="N129" s="465" t="s">
        <v>23</v>
      </c>
      <c r="O129" s="467" t="str">
        <f>IF(L129&lt;P129,"&lt;","&gt;")</f>
        <v>&lt;</v>
      </c>
      <c r="P129" s="467">
        <f>D12</f>
        <v>230</v>
      </c>
      <c r="Q129" s="467"/>
      <c r="R129" s="467" t="str">
        <f>IF(L129&lt;P129,"Hence safe","fail")</f>
        <v>Hence safe</v>
      </c>
      <c r="S129" s="467"/>
      <c r="T129" s="59"/>
    </row>
    <row r="130" spans="2:20" ht="12.75" customHeight="1">
      <c r="B130" s="467"/>
      <c r="C130" s="492"/>
      <c r="D130" s="68" t="s">
        <v>241</v>
      </c>
      <c r="E130" s="465"/>
      <c r="F130" s="95">
        <f>L116</f>
        <v>1256</v>
      </c>
      <c r="G130" s="113" t="s">
        <v>1</v>
      </c>
      <c r="H130" s="113">
        <f>L128</f>
        <v>162.18393933572236</v>
      </c>
      <c r="I130" s="78"/>
      <c r="J130" s="68"/>
      <c r="K130" s="467"/>
      <c r="L130" s="543"/>
      <c r="M130" s="543"/>
      <c r="N130" s="465"/>
      <c r="O130" s="467"/>
      <c r="P130" s="467"/>
      <c r="Q130" s="467"/>
      <c r="R130" s="467"/>
      <c r="S130" s="467"/>
      <c r="T130" s="59"/>
    </row>
    <row r="131" spans="2:20" ht="12.75" customHeight="1">
      <c r="B131" s="87" t="s">
        <v>245</v>
      </c>
      <c r="C131" s="27"/>
      <c r="D131" s="68"/>
      <c r="E131" s="75"/>
      <c r="F131" s="68"/>
      <c r="G131" s="62"/>
      <c r="H131" s="62"/>
      <c r="I131" s="78"/>
      <c r="J131" s="68"/>
      <c r="K131" s="68"/>
      <c r="L131" s="75"/>
      <c r="M131" s="75"/>
      <c r="N131" s="75"/>
      <c r="O131" s="68"/>
      <c r="P131" s="68"/>
      <c r="Q131" s="68"/>
      <c r="R131" s="68"/>
      <c r="S131" s="68"/>
      <c r="T131" s="59"/>
    </row>
    <row r="132" spans="2:20" ht="12.75" customHeight="1">
      <c r="B132" s="477" t="s">
        <v>242</v>
      </c>
      <c r="C132" s="492" t="s">
        <v>0</v>
      </c>
      <c r="D132" s="68" t="s">
        <v>243</v>
      </c>
      <c r="E132" s="488" t="s">
        <v>0</v>
      </c>
      <c r="F132" s="62">
        <f>L129</f>
        <v>131.54873193914537</v>
      </c>
      <c r="G132" s="483" t="s">
        <v>1</v>
      </c>
      <c r="H132" s="546">
        <f>F127</f>
        <v>68.4481819928329</v>
      </c>
      <c r="I132" s="546"/>
      <c r="J132" s="546"/>
      <c r="K132" s="473" t="s">
        <v>0</v>
      </c>
      <c r="L132" s="498">
        <f>F132/F133*H132/(H133-J133)</f>
        <v>5.795613056162527</v>
      </c>
      <c r="M132" s="498"/>
      <c r="N132" s="465" t="s">
        <v>23</v>
      </c>
      <c r="O132" s="467" t="str">
        <f>IF(L132&lt;P132,"&lt;","&gt;")</f>
        <v>&lt;</v>
      </c>
      <c r="P132" s="467">
        <f>D13</f>
        <v>7</v>
      </c>
      <c r="Q132" s="467"/>
      <c r="R132" s="467" t="str">
        <f>IF(L132&lt;P132,"Hence safe","fail")</f>
        <v>Hence safe</v>
      </c>
      <c r="S132" s="467"/>
      <c r="T132" s="59"/>
    </row>
    <row r="133" spans="2:20" ht="12.75" customHeight="1">
      <c r="B133" s="477"/>
      <c r="C133" s="492"/>
      <c r="D133" s="68" t="s">
        <v>244</v>
      </c>
      <c r="E133" s="465"/>
      <c r="F133" s="96">
        <f>H120</f>
        <v>13.33</v>
      </c>
      <c r="G133" s="483"/>
      <c r="H133" s="113">
        <f>L120</f>
        <v>185</v>
      </c>
      <c r="I133" s="100" t="s">
        <v>18</v>
      </c>
      <c r="J133" s="139">
        <f>H132</f>
        <v>68.4481819928329</v>
      </c>
      <c r="K133" s="467"/>
      <c r="L133" s="498"/>
      <c r="M133" s="498"/>
      <c r="N133" s="465"/>
      <c r="O133" s="467"/>
      <c r="P133" s="467"/>
      <c r="Q133" s="467"/>
      <c r="R133" s="467"/>
      <c r="S133" s="467"/>
      <c r="T133" s="59"/>
    </row>
    <row r="134" spans="1:20" ht="12.75" customHeight="1">
      <c r="A134">
        <v>5</v>
      </c>
      <c r="B134" s="26" t="s">
        <v>246</v>
      </c>
      <c r="C134" s="27"/>
      <c r="D134" s="68"/>
      <c r="E134" s="75"/>
      <c r="F134" s="68"/>
      <c r="G134" s="62"/>
      <c r="H134" s="62"/>
      <c r="I134" s="78"/>
      <c r="J134" s="68"/>
      <c r="K134" s="68"/>
      <c r="L134" s="75"/>
      <c r="M134" s="75"/>
      <c r="N134" s="75"/>
      <c r="O134" s="68"/>
      <c r="P134" s="58"/>
      <c r="Q134" s="58"/>
      <c r="R134" s="58"/>
      <c r="S134" s="58"/>
      <c r="T134" s="59"/>
    </row>
    <row r="135" spans="2:20" ht="12.75" customHeight="1">
      <c r="B135" s="68"/>
      <c r="C135" s="27"/>
      <c r="D135" s="87" t="s">
        <v>253</v>
      </c>
      <c r="E135" s="75"/>
      <c r="F135" s="68"/>
      <c r="G135" s="62"/>
      <c r="H135" s="483">
        <f>D104</f>
        <v>5250000</v>
      </c>
      <c r="I135" s="483"/>
      <c r="J135" s="87" t="s">
        <v>26</v>
      </c>
      <c r="K135" s="68"/>
      <c r="L135" s="75"/>
      <c r="M135" s="75"/>
      <c r="N135" s="75"/>
      <c r="O135" s="68"/>
      <c r="P135" s="58"/>
      <c r="Q135" s="58"/>
      <c r="R135" s="58"/>
      <c r="S135" s="58"/>
      <c r="T135" s="59"/>
    </row>
    <row r="136" spans="2:20" ht="12.75" customHeight="1">
      <c r="B136" s="117" t="s">
        <v>254</v>
      </c>
      <c r="C136" s="45" t="s">
        <v>0</v>
      </c>
      <c r="D136" s="477">
        <f>P97</f>
        <v>30625</v>
      </c>
      <c r="E136" s="477"/>
      <c r="F136" s="149" t="s">
        <v>129</v>
      </c>
      <c r="G136" s="62"/>
      <c r="H136" s="62" t="s">
        <v>255</v>
      </c>
      <c r="I136" s="78" t="s">
        <v>0</v>
      </c>
      <c r="J136" s="477">
        <f>L105</f>
        <v>72625</v>
      </c>
      <c r="K136" s="477"/>
      <c r="L136" s="70" t="s">
        <v>129</v>
      </c>
      <c r="M136" s="75"/>
      <c r="N136" s="75"/>
      <c r="O136" s="68"/>
      <c r="P136" s="58"/>
      <c r="Q136" s="58"/>
      <c r="R136" s="58"/>
      <c r="S136" s="58"/>
      <c r="T136" s="59"/>
    </row>
    <row r="137" spans="2:20" ht="12.75" customHeight="1">
      <c r="B137" s="491" t="s">
        <v>256</v>
      </c>
      <c r="C137" s="492" t="s">
        <v>0</v>
      </c>
      <c r="D137" s="68" t="s">
        <v>197</v>
      </c>
      <c r="E137" s="488" t="s">
        <v>0</v>
      </c>
      <c r="F137" s="467">
        <f>J136</f>
        <v>72625</v>
      </c>
      <c r="G137" s="467"/>
      <c r="H137" s="467"/>
      <c r="I137" s="488" t="s">
        <v>0</v>
      </c>
      <c r="J137" s="489">
        <f>F137/(F138*H138)</f>
        <v>1.962837837837838</v>
      </c>
      <c r="K137" s="489"/>
      <c r="L137" s="465" t="s">
        <v>23</v>
      </c>
      <c r="M137" s="75"/>
      <c r="N137" s="75"/>
      <c r="O137" s="68"/>
      <c r="P137" s="58"/>
      <c r="Q137" s="58"/>
      <c r="R137" s="58"/>
      <c r="S137" s="58"/>
      <c r="T137" s="59"/>
    </row>
    <row r="138" spans="2:20" ht="12.75" customHeight="1">
      <c r="B138" s="491"/>
      <c r="C138" s="493"/>
      <c r="D138" s="95" t="s">
        <v>257</v>
      </c>
      <c r="E138" s="465"/>
      <c r="F138" s="95">
        <f>H71</f>
        <v>200</v>
      </c>
      <c r="G138" s="113" t="s">
        <v>1</v>
      </c>
      <c r="H138" s="113">
        <f>H133</f>
        <v>185</v>
      </c>
      <c r="I138" s="488"/>
      <c r="J138" s="489"/>
      <c r="K138" s="489"/>
      <c r="L138" s="465"/>
      <c r="M138" s="75"/>
      <c r="N138" s="75"/>
      <c r="O138" s="68"/>
      <c r="P138" s="58"/>
      <c r="Q138" s="58"/>
      <c r="R138" s="58"/>
      <c r="S138" s="58"/>
      <c r="T138" s="59"/>
    </row>
    <row r="139" spans="2:20" ht="12.75" customHeight="1">
      <c r="B139" s="22" t="s">
        <v>258</v>
      </c>
      <c r="C139" s="473" t="s">
        <v>0</v>
      </c>
      <c r="D139" s="22">
        <v>100</v>
      </c>
      <c r="E139" s="22" t="s">
        <v>1</v>
      </c>
      <c r="F139" s="22">
        <f>F130</f>
        <v>1256</v>
      </c>
      <c r="G139" s="473" t="s">
        <v>0</v>
      </c>
      <c r="H139" s="467">
        <f>D139*F139/(D140*F140)</f>
        <v>3.3945945945945946</v>
      </c>
      <c r="I139" s="467" t="s">
        <v>260</v>
      </c>
      <c r="J139" s="467" t="s">
        <v>261</v>
      </c>
      <c r="K139" s="467"/>
      <c r="L139" s="467"/>
      <c r="M139" s="467"/>
      <c r="N139" s="467"/>
      <c r="O139" s="473" t="s">
        <v>0</v>
      </c>
      <c r="P139" s="484">
        <f>VLOOKUP(H139,'IS- Table'!A50:B350,2)</f>
        <v>0.51</v>
      </c>
      <c r="Q139" s="461" t="s">
        <v>23</v>
      </c>
      <c r="R139" s="461"/>
      <c r="S139" s="64"/>
      <c r="T139" s="59"/>
    </row>
    <row r="140" spans="2:18" ht="12.75">
      <c r="B140" s="200" t="s">
        <v>259</v>
      </c>
      <c r="C140" s="467"/>
      <c r="D140" s="200">
        <f>F138</f>
        <v>200</v>
      </c>
      <c r="E140" s="200" t="s">
        <v>1</v>
      </c>
      <c r="F140" s="201">
        <f>H138</f>
        <v>185</v>
      </c>
      <c r="G140" s="467"/>
      <c r="H140" s="467"/>
      <c r="I140" s="467"/>
      <c r="J140" s="467"/>
      <c r="K140" s="467"/>
      <c r="L140" s="467"/>
      <c r="M140" s="467"/>
      <c r="N140" s="467"/>
      <c r="O140" s="473"/>
      <c r="P140" s="485"/>
      <c r="Q140" s="461"/>
      <c r="R140" s="461"/>
    </row>
    <row r="141" spans="2:15" ht="15.75">
      <c r="B141" s="67"/>
      <c r="C141" s="67"/>
      <c r="D141" s="67" t="s">
        <v>262</v>
      </c>
      <c r="E141" s="67"/>
      <c r="F141" s="22" t="s">
        <v>264</v>
      </c>
      <c r="G141" s="22" t="str">
        <f>IF(J137&gt;P139,"&gt;","&lt;")</f>
        <v>&gt;</v>
      </c>
      <c r="H141" s="67" t="s">
        <v>263</v>
      </c>
      <c r="I141" s="67"/>
      <c r="J141" s="67" t="str">
        <f>IF(J137&gt;P139,"shear reinforcemnt required","o.k.")</f>
        <v>shear reinforcemnt required</v>
      </c>
      <c r="K141" s="67"/>
      <c r="L141" s="67"/>
      <c r="M141" s="67"/>
      <c r="N141" s="67"/>
      <c r="O141" s="67"/>
    </row>
    <row r="142" ht="12.75">
      <c r="B142" s="20" t="s">
        <v>265</v>
      </c>
    </row>
    <row r="143" spans="4:12" ht="15.75">
      <c r="D143" t="s">
        <v>266</v>
      </c>
      <c r="H143" t="s">
        <v>267</v>
      </c>
      <c r="J143" s="486">
        <f>F129</f>
        <v>26796875</v>
      </c>
      <c r="K143" s="486"/>
      <c r="L143" s="486"/>
    </row>
    <row r="144" spans="2:19" ht="15.75" customHeight="1">
      <c r="B144" s="466" t="s">
        <v>268</v>
      </c>
      <c r="C144" s="461" t="s">
        <v>100</v>
      </c>
      <c r="D144" s="461" t="s">
        <v>269</v>
      </c>
      <c r="E144" s="461"/>
      <c r="F144" s="12"/>
      <c r="G144" s="460" t="s">
        <v>0</v>
      </c>
      <c r="H144" s="461">
        <f>D104</f>
        <v>5250000</v>
      </c>
      <c r="I144" s="461"/>
      <c r="J144" s="10">
        <v>1</v>
      </c>
      <c r="K144" s="23" t="s">
        <v>3</v>
      </c>
      <c r="L144" s="186">
        <f>D110</f>
        <v>230</v>
      </c>
      <c r="M144" s="10" t="s">
        <v>2</v>
      </c>
      <c r="N144" s="10">
        <f>H71</f>
        <v>200</v>
      </c>
      <c r="O144" s="460" t="s">
        <v>0</v>
      </c>
      <c r="P144" s="475">
        <f>H144*((J144+L144/N144)/J145)</f>
        <v>6639705.882352941</v>
      </c>
      <c r="Q144" s="475"/>
      <c r="R144" s="475"/>
      <c r="S144" s="474" t="s">
        <v>26</v>
      </c>
    </row>
    <row r="145" spans="2:19" ht="12.75">
      <c r="B145" s="466"/>
      <c r="C145" s="461"/>
      <c r="D145" s="461">
        <v>1.7</v>
      </c>
      <c r="E145" s="461"/>
      <c r="F145" s="12"/>
      <c r="G145" s="461"/>
      <c r="H145" s="461"/>
      <c r="I145" s="461"/>
      <c r="J145" s="487">
        <v>1.7</v>
      </c>
      <c r="K145" s="487"/>
      <c r="L145" s="487"/>
      <c r="M145" s="487"/>
      <c r="N145" s="487"/>
      <c r="O145" s="461"/>
      <c r="P145" s="475"/>
      <c r="Q145" s="475"/>
      <c r="R145" s="475"/>
      <c r="S145" s="474"/>
    </row>
    <row r="146" spans="2:19" ht="12.75" customHeight="1">
      <c r="B146" s="89" t="s">
        <v>270</v>
      </c>
      <c r="C146" s="48" t="s">
        <v>0</v>
      </c>
      <c r="D146" s="462">
        <f>J143</f>
        <v>26796875</v>
      </c>
      <c r="E146" s="462"/>
      <c r="F146" s="23" t="s">
        <v>3</v>
      </c>
      <c r="G146" s="462">
        <f>P144</f>
        <v>6639705.882352941</v>
      </c>
      <c r="H146" s="462"/>
      <c r="I146" s="23" t="s">
        <v>0</v>
      </c>
      <c r="J146" s="462">
        <f>G146+D146</f>
        <v>33436580.88235294</v>
      </c>
      <c r="K146" s="462"/>
      <c r="L146" s="462"/>
      <c r="M146" s="12" t="s">
        <v>26</v>
      </c>
      <c r="N146" s="12"/>
      <c r="O146" s="12"/>
      <c r="P146" s="12"/>
      <c r="Q146" s="12"/>
      <c r="R146" s="12"/>
      <c r="S146" s="12"/>
    </row>
    <row r="147" spans="2:19" ht="12.75" customHeight="1">
      <c r="B147" s="477" t="s">
        <v>4</v>
      </c>
      <c r="C147" s="478" t="s">
        <v>271</v>
      </c>
      <c r="D147" s="478"/>
      <c r="E147" s="479" t="s">
        <v>0</v>
      </c>
      <c r="F147" s="471">
        <f>J146</f>
        <v>33436580.88235294</v>
      </c>
      <c r="G147" s="471"/>
      <c r="H147" s="471"/>
      <c r="I147" s="471"/>
      <c r="J147" s="471"/>
      <c r="K147" s="473" t="s">
        <v>0</v>
      </c>
      <c r="L147" s="483">
        <f>F147/(F148*H148)</f>
        <v>896.3676626327047</v>
      </c>
      <c r="M147" s="470" t="s">
        <v>156</v>
      </c>
      <c r="N147" s="470"/>
      <c r="O147" s="67"/>
      <c r="P147" s="67"/>
      <c r="Q147" s="67"/>
      <c r="R147" s="67"/>
      <c r="S147" s="59"/>
    </row>
    <row r="148" spans="2:19" ht="12.75">
      <c r="B148" s="477"/>
      <c r="C148" s="481" t="s">
        <v>157</v>
      </c>
      <c r="D148" s="480"/>
      <c r="E148" s="480"/>
      <c r="F148" s="67">
        <f>F53</f>
        <v>230</v>
      </c>
      <c r="G148" s="22" t="s">
        <v>1</v>
      </c>
      <c r="H148" s="482">
        <f>L128</f>
        <v>162.18393933572236</v>
      </c>
      <c r="I148" s="482"/>
      <c r="J148" s="83"/>
      <c r="K148" s="473"/>
      <c r="L148" s="483"/>
      <c r="M148" s="470"/>
      <c r="N148" s="470"/>
      <c r="O148" s="67"/>
      <c r="P148" s="67"/>
      <c r="Q148" s="67"/>
      <c r="R148" s="67"/>
      <c r="S148" s="59"/>
    </row>
    <row r="149" spans="2:20" ht="12.75" customHeight="1">
      <c r="B149" s="464" t="s">
        <v>272</v>
      </c>
      <c r="C149" s="464"/>
      <c r="D149" s="464"/>
      <c r="E149" s="74">
        <f>H116</f>
        <v>4</v>
      </c>
      <c r="F149" s="195" t="s">
        <v>273</v>
      </c>
      <c r="G149" s="120">
        <f>C113</f>
        <v>20</v>
      </c>
      <c r="H149" s="465" t="s">
        <v>274</v>
      </c>
      <c r="I149" s="465"/>
      <c r="J149" s="465"/>
      <c r="K149" s="465"/>
      <c r="L149" s="112">
        <f>L116</f>
        <v>1256</v>
      </c>
      <c r="M149" s="465" t="s">
        <v>275</v>
      </c>
      <c r="N149" s="465"/>
      <c r="O149" s="465"/>
      <c r="P149" s="196" t="str">
        <f>IF(L147&lt;L149,"O.K.","Fail")</f>
        <v>O.K.</v>
      </c>
      <c r="Q149" s="112"/>
      <c r="R149" s="112"/>
      <c r="S149" s="194"/>
      <c r="T149" s="31"/>
    </row>
    <row r="150" spans="2:20" ht="12.75" customHeight="1">
      <c r="B150" s="112" t="s">
        <v>276</v>
      </c>
      <c r="C150" s="192"/>
      <c r="D150" s="112"/>
      <c r="E150" s="112"/>
      <c r="F150" s="112"/>
      <c r="G150" s="120"/>
      <c r="H150" s="75"/>
      <c r="I150" s="75" t="s">
        <v>277</v>
      </c>
      <c r="J150" s="75">
        <f>C113</f>
        <v>20</v>
      </c>
      <c r="K150" s="195" t="s">
        <v>278</v>
      </c>
      <c r="L150" s="112"/>
      <c r="M150" s="112"/>
      <c r="N150" s="75"/>
      <c r="O150" s="112"/>
      <c r="P150" s="112"/>
      <c r="Q150" s="120"/>
      <c r="R150" s="193"/>
      <c r="S150" s="194"/>
      <c r="T150" s="31"/>
    </row>
    <row r="151" spans="2:20" ht="12.75">
      <c r="B151" s="112"/>
      <c r="C151" s="112"/>
      <c r="D151" s="112"/>
      <c r="E151" s="112"/>
      <c r="F151" s="112"/>
      <c r="G151" s="78"/>
      <c r="H151" s="74"/>
      <c r="I151" s="187"/>
      <c r="J151" s="187"/>
      <c r="K151" s="75"/>
      <c r="L151" s="74"/>
      <c r="M151" s="188"/>
      <c r="N151" s="188"/>
      <c r="O151" s="188"/>
      <c r="P151" s="188"/>
      <c r="Q151" s="78"/>
      <c r="R151" s="74"/>
      <c r="S151" s="75"/>
      <c r="T151" s="31"/>
    </row>
    <row r="152" spans="2:20" ht="12.75">
      <c r="B152" s="197" t="s">
        <v>279</v>
      </c>
      <c r="C152" s="112"/>
      <c r="D152" s="112"/>
      <c r="E152" s="112"/>
      <c r="F152" s="112"/>
      <c r="G152" s="189"/>
      <c r="H152" s="190"/>
      <c r="I152" s="191"/>
      <c r="J152" s="191"/>
      <c r="K152" s="120"/>
      <c r="L152" s="75"/>
      <c r="M152" s="112"/>
      <c r="N152" s="112"/>
      <c r="O152" s="112"/>
      <c r="P152" s="112"/>
      <c r="Q152" s="112"/>
      <c r="R152" s="112"/>
      <c r="S152" s="112"/>
      <c r="T152" s="31"/>
    </row>
    <row r="153" spans="2:20" ht="12.75">
      <c r="B153" s="49"/>
      <c r="C153" s="49"/>
      <c r="D153" s="49"/>
      <c r="E153" s="49" t="s">
        <v>280</v>
      </c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31"/>
    </row>
    <row r="154" spans="2:19" ht="12.75">
      <c r="B154" s="466" t="s">
        <v>281</v>
      </c>
      <c r="C154" s="466"/>
      <c r="D154" s="10">
        <f>F8</f>
        <v>25</v>
      </c>
      <c r="E154" s="12" t="s">
        <v>282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2:19" ht="15.75">
      <c r="B155" s="10" t="s">
        <v>284</v>
      </c>
      <c r="C155" s="48" t="s">
        <v>0</v>
      </c>
      <c r="D155" s="12" t="s">
        <v>283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2:19" ht="12.75">
      <c r="B156" s="12"/>
      <c r="C156" s="48" t="s">
        <v>0</v>
      </c>
      <c r="D156" s="10">
        <f>D140</f>
        <v>200</v>
      </c>
      <c r="E156" s="23" t="s">
        <v>18</v>
      </c>
      <c r="F156" s="10">
        <v>2</v>
      </c>
      <c r="G156" s="10" t="s">
        <v>1</v>
      </c>
      <c r="H156" s="10">
        <f>D154</f>
        <v>25</v>
      </c>
      <c r="I156" s="23" t="s">
        <v>18</v>
      </c>
      <c r="J156" s="10">
        <v>10</v>
      </c>
      <c r="K156" s="23" t="s">
        <v>0</v>
      </c>
      <c r="L156" s="10">
        <f>D156-F156*H156-J156</f>
        <v>140</v>
      </c>
      <c r="M156" s="54" t="s">
        <v>20</v>
      </c>
      <c r="N156" s="10"/>
      <c r="O156" s="10"/>
      <c r="P156" s="12"/>
      <c r="Q156" s="12"/>
      <c r="R156" s="12"/>
      <c r="S156" s="12"/>
    </row>
    <row r="157" spans="2:19" ht="15.75">
      <c r="B157" s="10" t="s">
        <v>286</v>
      </c>
      <c r="C157" s="48" t="s">
        <v>0</v>
      </c>
      <c r="D157" s="12" t="s">
        <v>285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2:19" ht="12.75">
      <c r="B158" s="12"/>
      <c r="C158" s="48" t="s">
        <v>0</v>
      </c>
      <c r="D158" s="186">
        <f>D110</f>
        <v>230</v>
      </c>
      <c r="E158" s="23" t="s">
        <v>18</v>
      </c>
      <c r="F158" s="10">
        <v>2</v>
      </c>
      <c r="G158" s="10" t="s">
        <v>1</v>
      </c>
      <c r="H158" s="10">
        <f>H156</f>
        <v>25</v>
      </c>
      <c r="I158" s="23" t="s">
        <v>18</v>
      </c>
      <c r="J158" s="10">
        <f>J156</f>
        <v>10</v>
      </c>
      <c r="K158" s="23" t="s">
        <v>0</v>
      </c>
      <c r="L158" s="10">
        <f>D158-F158*H158-J158</f>
        <v>170</v>
      </c>
      <c r="M158" s="54" t="s">
        <v>20</v>
      </c>
      <c r="N158" s="10"/>
      <c r="O158" s="12"/>
      <c r="P158" s="12"/>
      <c r="Q158" s="12"/>
      <c r="R158" s="12"/>
      <c r="S158" s="12"/>
    </row>
    <row r="159" spans="2:19" ht="14.25">
      <c r="B159" s="467" t="s">
        <v>5</v>
      </c>
      <c r="C159" s="468">
        <f>'DATA sheet'!I21</f>
        <v>10</v>
      </c>
      <c r="D159" s="469" t="s">
        <v>289</v>
      </c>
      <c r="E159" s="469"/>
      <c r="F159" s="467" t="s">
        <v>287</v>
      </c>
      <c r="G159" s="467" t="s">
        <v>178</v>
      </c>
      <c r="H159" s="90" t="s">
        <v>159</v>
      </c>
      <c r="I159" s="90"/>
      <c r="J159" s="473" t="s">
        <v>0</v>
      </c>
      <c r="K159" s="467" t="s">
        <v>288</v>
      </c>
      <c r="L159" s="90">
        <v>3.14</v>
      </c>
      <c r="M159" s="71" t="s">
        <v>1</v>
      </c>
      <c r="N159" s="71">
        <f>C159</f>
        <v>10</v>
      </c>
      <c r="O159" s="71" t="s">
        <v>1</v>
      </c>
      <c r="P159" s="71">
        <f>C159</f>
        <v>10</v>
      </c>
      <c r="Q159" s="473" t="s">
        <v>0</v>
      </c>
      <c r="R159" s="472">
        <f>2*L159*N159*P159/4</f>
        <v>157</v>
      </c>
      <c r="S159" s="474" t="s">
        <v>160</v>
      </c>
    </row>
    <row r="160" spans="2:19" ht="12.75">
      <c r="B160" s="467"/>
      <c r="C160" s="468"/>
      <c r="D160" s="469"/>
      <c r="E160" s="469"/>
      <c r="F160" s="467"/>
      <c r="G160" s="473"/>
      <c r="H160" s="68" t="s">
        <v>7</v>
      </c>
      <c r="I160" s="68"/>
      <c r="J160" s="467"/>
      <c r="K160" s="473"/>
      <c r="L160" s="70"/>
      <c r="M160" s="70">
        <v>4</v>
      </c>
      <c r="N160" s="68" t="s">
        <v>1</v>
      </c>
      <c r="O160" s="476">
        <v>100</v>
      </c>
      <c r="P160" s="476"/>
      <c r="Q160" s="473"/>
      <c r="R160" s="472"/>
      <c r="S160" s="474"/>
    </row>
    <row r="161" spans="2:19" ht="15.75">
      <c r="B161" s="461" t="s">
        <v>290</v>
      </c>
      <c r="C161" s="460" t="s">
        <v>0</v>
      </c>
      <c r="D161" s="12" t="s">
        <v>293</v>
      </c>
      <c r="E161" s="23" t="s">
        <v>3</v>
      </c>
      <c r="F161" s="463" t="s">
        <v>294</v>
      </c>
      <c r="G161" s="463"/>
      <c r="H161" s="461" t="s">
        <v>295</v>
      </c>
      <c r="I161" s="12"/>
      <c r="Q161" s="12"/>
      <c r="R161" s="12"/>
      <c r="S161" s="12"/>
    </row>
    <row r="162" spans="2:19" ht="12.75">
      <c r="B162" s="461"/>
      <c r="C162" s="461"/>
      <c r="D162" s="52" t="s">
        <v>291</v>
      </c>
      <c r="E162" s="12"/>
      <c r="F162" s="52" t="s">
        <v>292</v>
      </c>
      <c r="G162" s="52"/>
      <c r="H162" s="461"/>
      <c r="I162" s="12"/>
      <c r="Q162" s="12"/>
      <c r="R162" s="12"/>
      <c r="S162" s="12"/>
    </row>
    <row r="163" spans="2:19" ht="12.75">
      <c r="B163" s="462">
        <f>R159</f>
        <v>157</v>
      </c>
      <c r="C163" s="460" t="s">
        <v>0</v>
      </c>
      <c r="D163" s="462">
        <f>H135</f>
        <v>5250000</v>
      </c>
      <c r="E163" s="462"/>
      <c r="F163" s="462"/>
      <c r="G163" s="462"/>
      <c r="H163" s="462"/>
      <c r="I163" s="460" t="s">
        <v>3</v>
      </c>
      <c r="J163" s="461">
        <f>D136</f>
        <v>30625</v>
      </c>
      <c r="K163" s="461"/>
      <c r="L163" s="461"/>
      <c r="M163" s="461"/>
      <c r="N163" s="461"/>
      <c r="O163" s="461" t="s">
        <v>296</v>
      </c>
      <c r="P163" s="12"/>
      <c r="Q163" s="12"/>
      <c r="R163" s="12"/>
      <c r="S163" s="12"/>
    </row>
    <row r="164" spans="2:19" ht="12.75">
      <c r="B164" s="461"/>
      <c r="C164" s="461"/>
      <c r="D164" s="24">
        <f>L156</f>
        <v>140</v>
      </c>
      <c r="E164" s="24" t="s">
        <v>1</v>
      </c>
      <c r="F164" s="24">
        <f>L158</f>
        <v>170</v>
      </c>
      <c r="G164" s="24" t="s">
        <v>1</v>
      </c>
      <c r="H164" s="24">
        <f>F112</f>
        <v>230</v>
      </c>
      <c r="I164" s="461"/>
      <c r="J164" s="52">
        <v>2.5</v>
      </c>
      <c r="K164" s="52" t="s">
        <v>1</v>
      </c>
      <c r="L164" s="52">
        <f>L158</f>
        <v>170</v>
      </c>
      <c r="M164" s="52" t="s">
        <v>1</v>
      </c>
      <c r="N164" s="52">
        <f>H164</f>
        <v>230</v>
      </c>
      <c r="O164" s="461"/>
      <c r="P164" s="12"/>
      <c r="Q164" s="12"/>
      <c r="R164" s="12"/>
      <c r="S164" s="12"/>
    </row>
    <row r="165" spans="2:19" ht="12.75">
      <c r="B165" s="185">
        <f>B163</f>
        <v>157</v>
      </c>
      <c r="C165" s="23" t="s">
        <v>203</v>
      </c>
      <c r="D165" s="10">
        <f>D163/(D164*F164*H164)</f>
        <v>0.959079283887468</v>
      </c>
      <c r="E165" s="23" t="s">
        <v>3</v>
      </c>
      <c r="F165" s="10">
        <f>J163/(J164*L164*N164)</f>
        <v>0.3132992327365729</v>
      </c>
      <c r="G165" s="10" t="s">
        <v>299</v>
      </c>
      <c r="H165" s="10"/>
      <c r="I165" s="10" t="s">
        <v>297</v>
      </c>
      <c r="J165" s="10" t="s">
        <v>296</v>
      </c>
      <c r="K165" s="23" t="s">
        <v>0</v>
      </c>
      <c r="L165" s="186">
        <f>B165</f>
        <v>157</v>
      </c>
      <c r="M165" s="10" t="s">
        <v>2</v>
      </c>
      <c r="N165" s="10">
        <f>D165+F165</f>
        <v>1.272378516624041</v>
      </c>
      <c r="O165" s="10"/>
      <c r="P165" s="10" t="s">
        <v>298</v>
      </c>
      <c r="Q165" s="23" t="s">
        <v>0</v>
      </c>
      <c r="R165" s="10">
        <f>L165/N165</f>
        <v>123.39095477386935</v>
      </c>
      <c r="S165" s="10" t="s">
        <v>209</v>
      </c>
    </row>
    <row r="166" spans="2:19" ht="15.75">
      <c r="B166" s="12" t="s">
        <v>300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2:19" ht="12.75">
      <c r="B167" s="12" t="s">
        <v>301</v>
      </c>
      <c r="C167" s="12"/>
      <c r="D167" s="12"/>
      <c r="E167" s="12"/>
      <c r="F167" s="12"/>
      <c r="G167" s="48" t="s">
        <v>0</v>
      </c>
      <c r="H167" s="10">
        <f>L156</f>
        <v>140</v>
      </c>
      <c r="I167" s="23" t="s">
        <v>3</v>
      </c>
      <c r="J167" s="4">
        <f>2*C159</f>
        <v>20</v>
      </c>
      <c r="K167" s="23" t="s">
        <v>3</v>
      </c>
      <c r="L167" s="10">
        <f>C159</f>
        <v>10</v>
      </c>
      <c r="M167" s="23" t="s">
        <v>0</v>
      </c>
      <c r="N167" s="10">
        <f>L167+J167+H167</f>
        <v>170</v>
      </c>
      <c r="O167" s="54" t="s">
        <v>20</v>
      </c>
      <c r="P167" s="10"/>
      <c r="Q167" s="10"/>
      <c r="R167" s="10"/>
      <c r="S167" s="10"/>
    </row>
    <row r="168" spans="2:19" ht="12.75">
      <c r="B168" s="10" t="s">
        <v>302</v>
      </c>
      <c r="C168" s="12"/>
      <c r="D168" s="12"/>
      <c r="E168" s="12"/>
      <c r="F168" s="12"/>
      <c r="G168" s="48" t="s">
        <v>0</v>
      </c>
      <c r="H168" s="10">
        <f>L158</f>
        <v>170</v>
      </c>
      <c r="I168" s="23" t="s">
        <v>3</v>
      </c>
      <c r="J168" s="10">
        <f>J167</f>
        <v>20</v>
      </c>
      <c r="K168" s="23" t="s">
        <v>3</v>
      </c>
      <c r="L168" s="10">
        <f>L167</f>
        <v>10</v>
      </c>
      <c r="M168" s="23" t="s">
        <v>0</v>
      </c>
      <c r="N168" s="10">
        <f>L168+J168+H168</f>
        <v>200</v>
      </c>
      <c r="O168" s="54" t="s">
        <v>20</v>
      </c>
      <c r="P168" s="10"/>
      <c r="Q168" s="10"/>
      <c r="R168" s="10"/>
      <c r="S168" s="10"/>
    </row>
    <row r="169" spans="2:20" ht="12.75">
      <c r="B169" s="10" t="s">
        <v>303</v>
      </c>
      <c r="C169" s="48" t="s">
        <v>203</v>
      </c>
      <c r="D169" s="10">
        <f>N167</f>
        <v>170</v>
      </c>
      <c r="E169" s="23" t="s">
        <v>3</v>
      </c>
      <c r="F169" s="10">
        <f>N168</f>
        <v>200</v>
      </c>
      <c r="G169" s="10" t="s">
        <v>304</v>
      </c>
      <c r="H169" s="10">
        <v>4</v>
      </c>
      <c r="I169" s="23" t="s">
        <v>0</v>
      </c>
      <c r="J169" s="10">
        <f>(D169+F169)/H169</f>
        <v>92.5</v>
      </c>
      <c r="K169" s="10" t="s">
        <v>20</v>
      </c>
      <c r="L169" s="10"/>
      <c r="M169" s="10"/>
      <c r="N169" s="10"/>
      <c r="O169" s="10"/>
      <c r="P169" s="10"/>
      <c r="Q169" s="10"/>
      <c r="R169" s="10"/>
      <c r="S169" s="10"/>
      <c r="T169" s="4"/>
    </row>
    <row r="170" spans="2:20" ht="12.75">
      <c r="B170" s="11" t="s">
        <v>305</v>
      </c>
      <c r="C170" s="48" t="s">
        <v>0</v>
      </c>
      <c r="D170" s="10">
        <f>R165</f>
        <v>123.39095477386935</v>
      </c>
      <c r="E170" s="54" t="s">
        <v>306</v>
      </c>
      <c r="F170" s="10"/>
      <c r="G170" s="10"/>
      <c r="H170" s="10"/>
      <c r="I170" s="10"/>
      <c r="J170" s="10"/>
      <c r="K170" s="23" t="s">
        <v>0</v>
      </c>
      <c r="L170" s="10">
        <f>ROUND(J169,-1)</f>
        <v>90</v>
      </c>
      <c r="M170" s="54" t="s">
        <v>307</v>
      </c>
      <c r="N170" s="10"/>
      <c r="O170" s="10"/>
      <c r="P170" s="10"/>
      <c r="Q170" s="10"/>
      <c r="R170" s="10"/>
      <c r="S170" s="10"/>
      <c r="T170" s="4"/>
    </row>
    <row r="171" spans="2:20" ht="12.75">
      <c r="B171" s="12">
        <v>200</v>
      </c>
      <c r="C171" s="106" t="s">
        <v>308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4"/>
    </row>
    <row r="172" spans="2:19" ht="12.75">
      <c r="B172" s="128" t="s">
        <v>309</v>
      </c>
      <c r="C172" s="10" t="s">
        <v>311</v>
      </c>
      <c r="D172" s="10">
        <f>C159</f>
        <v>10</v>
      </c>
      <c r="E172" s="12" t="s">
        <v>310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2:19" ht="12.75">
      <c r="B173" s="128"/>
      <c r="C173" s="10"/>
      <c r="D173" s="10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2:19" ht="12.75">
      <c r="B174" s="128"/>
      <c r="C174" s="10"/>
      <c r="D174" s="10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2:19" ht="12.75">
      <c r="B175" s="128"/>
      <c r="C175" s="10"/>
      <c r="D175" s="10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98" t="s">
        <v>313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2:19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2:19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2:19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2:19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2:19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2:19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2:19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2:19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2:19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2:19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2:19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2:19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2:19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2:19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2:19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2:19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2:19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2:19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2:19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2:19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2:19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2:19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2:19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2:19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2:19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2:19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2:19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2:19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2:19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2:19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2:19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2:19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2:19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2:19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2:19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2:19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2:19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2:19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2:19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2:19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2:19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2:19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2:19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2:19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2:19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2:19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2:19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2:19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2:19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2:19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2:19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2:19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2:19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</sheetData>
  <sheetProtection password="DEA1" sheet="1"/>
  <protectedRanges>
    <protectedRange sqref="J21 H40" name="Range1"/>
  </protectedRanges>
  <mergeCells count="375">
    <mergeCell ref="R132:S133"/>
    <mergeCell ref="R129:S130"/>
    <mergeCell ref="B132:B133"/>
    <mergeCell ref="C132:C133"/>
    <mergeCell ref="E132:E133"/>
    <mergeCell ref="G132:G133"/>
    <mergeCell ref="H132:J132"/>
    <mergeCell ref="K132:K133"/>
    <mergeCell ref="L132:M133"/>
    <mergeCell ref="B129:B130"/>
    <mergeCell ref="D125:D126"/>
    <mergeCell ref="C125:C126"/>
    <mergeCell ref="E125:E126"/>
    <mergeCell ref="P132:Q133"/>
    <mergeCell ref="C129:C130"/>
    <mergeCell ref="E129:E130"/>
    <mergeCell ref="F129:H129"/>
    <mergeCell ref="N132:N133"/>
    <mergeCell ref="O132:O133"/>
    <mergeCell ref="F126:K126"/>
    <mergeCell ref="J125:K125"/>
    <mergeCell ref="I124:J124"/>
    <mergeCell ref="H123:I123"/>
    <mergeCell ref="P129:Q130"/>
    <mergeCell ref="O129:O130"/>
    <mergeCell ref="K129:K130"/>
    <mergeCell ref="L129:M130"/>
    <mergeCell ref="N129:N130"/>
    <mergeCell ref="U120:W120"/>
    <mergeCell ref="T119:T120"/>
    <mergeCell ref="I120:I121"/>
    <mergeCell ref="J120:J121"/>
    <mergeCell ref="K120:K121"/>
    <mergeCell ref="L120:L121"/>
    <mergeCell ref="M120:M121"/>
    <mergeCell ref="N120:N121"/>
    <mergeCell ref="O120:O121"/>
    <mergeCell ref="C116:F116"/>
    <mergeCell ref="S113:S114"/>
    <mergeCell ref="O114:P114"/>
    <mergeCell ref="B115:D115"/>
    <mergeCell ref="E115:F115"/>
    <mergeCell ref="B113:B114"/>
    <mergeCell ref="C113:C114"/>
    <mergeCell ref="F113:F114"/>
    <mergeCell ref="D121:F121"/>
    <mergeCell ref="H120:H121"/>
    <mergeCell ref="R107:R108"/>
    <mergeCell ref="S107:S108"/>
    <mergeCell ref="Q107:Q108"/>
    <mergeCell ref="Q113:Q114"/>
    <mergeCell ref="G113:G114"/>
    <mergeCell ref="K113:K114"/>
    <mergeCell ref="R113:R114"/>
    <mergeCell ref="D113:E114"/>
    <mergeCell ref="L111:M112"/>
    <mergeCell ref="N111:N112"/>
    <mergeCell ref="C112:D112"/>
    <mergeCell ref="B111:B112"/>
    <mergeCell ref="C111:D111"/>
    <mergeCell ref="E111:E112"/>
    <mergeCell ref="F111:J111"/>
    <mergeCell ref="B107:B108"/>
    <mergeCell ref="C107:C108"/>
    <mergeCell ref="I107:J108"/>
    <mergeCell ref="K107:P108"/>
    <mergeCell ref="D107:F107"/>
    <mergeCell ref="G107:G108"/>
    <mergeCell ref="H107:H108"/>
    <mergeCell ref="L105:M106"/>
    <mergeCell ref="L102:M103"/>
    <mergeCell ref="K97:K98"/>
    <mergeCell ref="L98:N98"/>
    <mergeCell ref="N105:N106"/>
    <mergeCell ref="N102:N103"/>
    <mergeCell ref="N100:N101"/>
    <mergeCell ref="K102:K103"/>
    <mergeCell ref="K100:K101"/>
    <mergeCell ref="L100:M101"/>
    <mergeCell ref="F102:F103"/>
    <mergeCell ref="G102:G103"/>
    <mergeCell ref="D104:E104"/>
    <mergeCell ref="B105:B106"/>
    <mergeCell ref="C105:C106"/>
    <mergeCell ref="D105:D106"/>
    <mergeCell ref="E105:E106"/>
    <mergeCell ref="F105:F106"/>
    <mergeCell ref="B102:B103"/>
    <mergeCell ref="C102:C103"/>
    <mergeCell ref="D102:D103"/>
    <mergeCell ref="E102:E103"/>
    <mergeCell ref="B95:B96"/>
    <mergeCell ref="C95:C96"/>
    <mergeCell ref="D95:E95"/>
    <mergeCell ref="D96:E96"/>
    <mergeCell ref="C93:C94"/>
    <mergeCell ref="D91:D92"/>
    <mergeCell ref="D94:F94"/>
    <mergeCell ref="G93:G94"/>
    <mergeCell ref="B89:B90"/>
    <mergeCell ref="C91:C92"/>
    <mergeCell ref="E91:E92"/>
    <mergeCell ref="F90:I90"/>
    <mergeCell ref="P39:Q39"/>
    <mergeCell ref="B40:F40"/>
    <mergeCell ref="B52:B53"/>
    <mergeCell ref="K52:K53"/>
    <mergeCell ref="L52:M53"/>
    <mergeCell ref="N52:N53"/>
    <mergeCell ref="C52:D52"/>
    <mergeCell ref="C53:D53"/>
    <mergeCell ref="P43:Q44"/>
    <mergeCell ref="K49:K50"/>
    <mergeCell ref="S49:S50"/>
    <mergeCell ref="C87:C88"/>
    <mergeCell ref="O87:O88"/>
    <mergeCell ref="P87:S88"/>
    <mergeCell ref="R54:R55"/>
    <mergeCell ref="S54:S55"/>
    <mergeCell ref="O55:P55"/>
    <mergeCell ref="Q54:Q55"/>
    <mergeCell ref="I51:L51"/>
    <mergeCell ref="K58:L58"/>
    <mergeCell ref="P31:Q31"/>
    <mergeCell ref="B37:S37"/>
    <mergeCell ref="B38:G38"/>
    <mergeCell ref="P33:Q33"/>
    <mergeCell ref="B31:D31"/>
    <mergeCell ref="B32:D32"/>
    <mergeCell ref="I38:O38"/>
    <mergeCell ref="P32:Q32"/>
    <mergeCell ref="N49:N50"/>
    <mergeCell ref="O49:Q50"/>
    <mergeCell ref="L49:L50"/>
    <mergeCell ref="H49:J49"/>
    <mergeCell ref="H44:J44"/>
    <mergeCell ref="M43:M44"/>
    <mergeCell ref="M45:M46"/>
    <mergeCell ref="M47:M48"/>
    <mergeCell ref="H46:J46"/>
    <mergeCell ref="R49:R50"/>
    <mergeCell ref="O43:O44"/>
    <mergeCell ref="P45:Q46"/>
    <mergeCell ref="R45:R46"/>
    <mergeCell ref="P48:Q48"/>
    <mergeCell ref="P47:Q47"/>
    <mergeCell ref="O45:O46"/>
    <mergeCell ref="R43:R44"/>
    <mergeCell ref="P30:Q30"/>
    <mergeCell ref="C15:D15"/>
    <mergeCell ref="E15:E16"/>
    <mergeCell ref="F15:G15"/>
    <mergeCell ref="D26:F26"/>
    <mergeCell ref="O23:P23"/>
    <mergeCell ref="P29:Q29"/>
    <mergeCell ref="I15:J15"/>
    <mergeCell ref="B30:D30"/>
    <mergeCell ref="B29:D29"/>
    <mergeCell ref="G41:G42"/>
    <mergeCell ref="B41:F42"/>
    <mergeCell ref="A2:S2"/>
    <mergeCell ref="K15:K16"/>
    <mergeCell ref="G10:H10"/>
    <mergeCell ref="L18:M18"/>
    <mergeCell ref="L15:L16"/>
    <mergeCell ref="C16:D16"/>
    <mergeCell ref="H12:J12"/>
    <mergeCell ref="H13:J13"/>
    <mergeCell ref="B15:B16"/>
    <mergeCell ref="H42:J42"/>
    <mergeCell ref="O41:O42"/>
    <mergeCell ref="P41:Q42"/>
    <mergeCell ref="R41:R42"/>
    <mergeCell ref="B49:D50"/>
    <mergeCell ref="B51:F51"/>
    <mergeCell ref="G43:G44"/>
    <mergeCell ref="B43:E44"/>
    <mergeCell ref="E49:E50"/>
    <mergeCell ref="G49:G50"/>
    <mergeCell ref="B48:F48"/>
    <mergeCell ref="B45:E46"/>
    <mergeCell ref="G45:G46"/>
    <mergeCell ref="K54:K55"/>
    <mergeCell ref="F52:J52"/>
    <mergeCell ref="E52:E53"/>
    <mergeCell ref="D59:E60"/>
    <mergeCell ref="F59:F60"/>
    <mergeCell ref="B57:F57"/>
    <mergeCell ref="B56:D56"/>
    <mergeCell ref="E56:F56"/>
    <mergeCell ref="G54:G55"/>
    <mergeCell ref="S59:S60"/>
    <mergeCell ref="O60:P60"/>
    <mergeCell ref="B61:D61"/>
    <mergeCell ref="E61:F61"/>
    <mergeCell ref="G59:G60"/>
    <mergeCell ref="K59:K60"/>
    <mergeCell ref="Q59:Q60"/>
    <mergeCell ref="R59:R60"/>
    <mergeCell ref="B68:D69"/>
    <mergeCell ref="F54:F55"/>
    <mergeCell ref="D54:E55"/>
    <mergeCell ref="C54:C55"/>
    <mergeCell ref="B54:B55"/>
    <mergeCell ref="B59:B60"/>
    <mergeCell ref="C59:C60"/>
    <mergeCell ref="B63:F63"/>
    <mergeCell ref="Q74:R74"/>
    <mergeCell ref="M68:M69"/>
    <mergeCell ref="N68:N69"/>
    <mergeCell ref="N72:O72"/>
    <mergeCell ref="N73:O73"/>
    <mergeCell ref="N74:O74"/>
    <mergeCell ref="G68:G69"/>
    <mergeCell ref="O68:O69"/>
    <mergeCell ref="C71:G71"/>
    <mergeCell ref="L76:N77"/>
    <mergeCell ref="I68:I69"/>
    <mergeCell ref="J68:J69"/>
    <mergeCell ref="K68:K69"/>
    <mergeCell ref="K76:K77"/>
    <mergeCell ref="E68:E69"/>
    <mergeCell ref="F68:F69"/>
    <mergeCell ref="B76:B77"/>
    <mergeCell ref="C76:C77"/>
    <mergeCell ref="E76:E77"/>
    <mergeCell ref="F77:J77"/>
    <mergeCell ref="B79:B80"/>
    <mergeCell ref="C79:C80"/>
    <mergeCell ref="D79:F80"/>
    <mergeCell ref="G80:H80"/>
    <mergeCell ref="G79:H79"/>
    <mergeCell ref="O76:O77"/>
    <mergeCell ref="P76:P77"/>
    <mergeCell ref="Q76:Q77"/>
    <mergeCell ref="R76:R77"/>
    <mergeCell ref="G84:G85"/>
    <mergeCell ref="H84:H85"/>
    <mergeCell ref="S76:S77"/>
    <mergeCell ref="B81:B82"/>
    <mergeCell ref="C81:C82"/>
    <mergeCell ref="E82:E83"/>
    <mergeCell ref="F82:F83"/>
    <mergeCell ref="D81:F81"/>
    <mergeCell ref="G81:G82"/>
    <mergeCell ref="I82:J82"/>
    <mergeCell ref="B84:B85"/>
    <mergeCell ref="C84:C85"/>
    <mergeCell ref="E85:E86"/>
    <mergeCell ref="F85:F86"/>
    <mergeCell ref="D84:F84"/>
    <mergeCell ref="H81:H82"/>
    <mergeCell ref="I84:I85"/>
    <mergeCell ref="J84:K85"/>
    <mergeCell ref="N84:O85"/>
    <mergeCell ref="L84:L85"/>
    <mergeCell ref="M84:M85"/>
    <mergeCell ref="P84:P85"/>
    <mergeCell ref="B87:B88"/>
    <mergeCell ref="D87:D88"/>
    <mergeCell ref="E87:E88"/>
    <mergeCell ref="F87:F88"/>
    <mergeCell ref="K88:N88"/>
    <mergeCell ref="G87:G88"/>
    <mergeCell ref="H87:H88"/>
    <mergeCell ref="I87:I88"/>
    <mergeCell ref="J87:J88"/>
    <mergeCell ref="K89:K90"/>
    <mergeCell ref="B117:S118"/>
    <mergeCell ref="C120:C121"/>
    <mergeCell ref="G120:G121"/>
    <mergeCell ref="L89:N90"/>
    <mergeCell ref="D89:E90"/>
    <mergeCell ref="B93:B94"/>
    <mergeCell ref="B91:B92"/>
    <mergeCell ref="G91:G92"/>
    <mergeCell ref="P97:Q98"/>
    <mergeCell ref="R97:R98"/>
    <mergeCell ref="B99:R99"/>
    <mergeCell ref="B100:B101"/>
    <mergeCell ref="I97:I98"/>
    <mergeCell ref="B97:B98"/>
    <mergeCell ref="C97:C98"/>
    <mergeCell ref="D97:D98"/>
    <mergeCell ref="G97:H98"/>
    <mergeCell ref="D101:F101"/>
    <mergeCell ref="O97:O98"/>
    <mergeCell ref="H135:I135"/>
    <mergeCell ref="H91:J92"/>
    <mergeCell ref="J93:J94"/>
    <mergeCell ref="K111:K112"/>
    <mergeCell ref="H93:I94"/>
    <mergeCell ref="I102:I103"/>
    <mergeCell ref="J102:J103"/>
    <mergeCell ref="K105:K106"/>
    <mergeCell ref="H106:I106"/>
    <mergeCell ref="K122:L122"/>
    <mergeCell ref="C100:C101"/>
    <mergeCell ref="U123:AA123"/>
    <mergeCell ref="T122:T123"/>
    <mergeCell ref="K123:L123"/>
    <mergeCell ref="Y122:Z122"/>
    <mergeCell ref="G100:G101"/>
    <mergeCell ref="I100:I101"/>
    <mergeCell ref="J100:J101"/>
    <mergeCell ref="G105:G106"/>
    <mergeCell ref="H105:I105"/>
    <mergeCell ref="B137:B138"/>
    <mergeCell ref="C137:C138"/>
    <mergeCell ref="E137:E138"/>
    <mergeCell ref="F137:H137"/>
    <mergeCell ref="J139:N140"/>
    <mergeCell ref="O139:O140"/>
    <mergeCell ref="H122:I122"/>
    <mergeCell ref="D136:E136"/>
    <mergeCell ref="J136:K136"/>
    <mergeCell ref="I137:I138"/>
    <mergeCell ref="J137:K138"/>
    <mergeCell ref="L137:L138"/>
    <mergeCell ref="H127:P127"/>
    <mergeCell ref="L128:M128"/>
    <mergeCell ref="C139:C140"/>
    <mergeCell ref="G139:G140"/>
    <mergeCell ref="H139:H140"/>
    <mergeCell ref="I139:I140"/>
    <mergeCell ref="P139:P140"/>
    <mergeCell ref="Q139:R140"/>
    <mergeCell ref="J143:L143"/>
    <mergeCell ref="B144:B145"/>
    <mergeCell ref="C144:C145"/>
    <mergeCell ref="D144:E144"/>
    <mergeCell ref="D145:E145"/>
    <mergeCell ref="G144:G145"/>
    <mergeCell ref="H144:I145"/>
    <mergeCell ref="J145:N145"/>
    <mergeCell ref="D146:E146"/>
    <mergeCell ref="G146:H146"/>
    <mergeCell ref="J146:L146"/>
    <mergeCell ref="B147:B148"/>
    <mergeCell ref="C147:D147"/>
    <mergeCell ref="E147:E148"/>
    <mergeCell ref="C148:D148"/>
    <mergeCell ref="K147:K148"/>
    <mergeCell ref="H148:I148"/>
    <mergeCell ref="L147:L148"/>
    <mergeCell ref="S159:S160"/>
    <mergeCell ref="O144:O145"/>
    <mergeCell ref="P144:R145"/>
    <mergeCell ref="S144:S145"/>
    <mergeCell ref="Q159:Q160"/>
    <mergeCell ref="O160:P160"/>
    <mergeCell ref="M147:N148"/>
    <mergeCell ref="H149:K149"/>
    <mergeCell ref="F147:J147"/>
    <mergeCell ref="R159:R160"/>
    <mergeCell ref="G159:G160"/>
    <mergeCell ref="K159:K160"/>
    <mergeCell ref="J159:J160"/>
    <mergeCell ref="B149:D149"/>
    <mergeCell ref="M149:O149"/>
    <mergeCell ref="B154:C154"/>
    <mergeCell ref="B159:B160"/>
    <mergeCell ref="C159:C160"/>
    <mergeCell ref="D159:E160"/>
    <mergeCell ref="F159:F160"/>
    <mergeCell ref="B161:B162"/>
    <mergeCell ref="C161:C162"/>
    <mergeCell ref="F161:G161"/>
    <mergeCell ref="H161:H162"/>
    <mergeCell ref="I163:I164"/>
    <mergeCell ref="J163:N163"/>
    <mergeCell ref="O163:O164"/>
    <mergeCell ref="B163:B164"/>
    <mergeCell ref="C163:C164"/>
    <mergeCell ref="D163:H163"/>
  </mergeCells>
  <hyperlinks>
    <hyperlink ref="A176" r:id="rId1" display="pk_nandwana@yahoo.co.in"/>
  </hyperlinks>
  <printOptions/>
  <pageMargins left="0.75" right="0.5" top="0.75" bottom="0.5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60"/>
  <sheetViews>
    <sheetView showGridLines="0" zoomScalePageLayoutView="0" workbookViewId="0" topLeftCell="A16">
      <selection activeCell="Y38" sqref="Y38"/>
    </sheetView>
  </sheetViews>
  <sheetFormatPr defaultColWidth="4.57421875" defaultRowHeight="12.75"/>
  <cols>
    <col min="1" max="16384" width="9.140625" customWidth="1"/>
  </cols>
  <sheetData>
    <row r="1" spans="1:19" ht="15">
      <c r="A1" s="210"/>
      <c r="B1" s="210"/>
      <c r="C1" s="395" t="s">
        <v>358</v>
      </c>
      <c r="D1" s="396"/>
      <c r="E1" s="396"/>
      <c r="F1" s="396"/>
      <c r="G1" s="396"/>
      <c r="H1" s="396"/>
      <c r="I1" s="396"/>
      <c r="J1" s="397"/>
      <c r="K1" s="210"/>
      <c r="L1" s="210"/>
      <c r="M1" s="210"/>
      <c r="N1" s="210"/>
      <c r="O1" s="210"/>
      <c r="P1" s="210"/>
      <c r="Q1" s="210"/>
      <c r="R1" s="210"/>
      <c r="S1" s="210"/>
    </row>
    <row r="2" spans="1:19" ht="15">
      <c r="A2" s="210"/>
      <c r="B2" s="210"/>
      <c r="C2" s="224"/>
      <c r="D2" s="224"/>
      <c r="E2" s="224"/>
      <c r="F2" s="224"/>
      <c r="G2" s="224"/>
      <c r="H2" s="224"/>
      <c r="I2" s="224"/>
      <c r="J2" s="224"/>
      <c r="K2" s="553" t="s">
        <v>363</v>
      </c>
      <c r="L2" s="554"/>
      <c r="M2" s="554"/>
      <c r="N2" s="554"/>
      <c r="O2" s="554"/>
      <c r="P2" s="554"/>
      <c r="Q2" s="554"/>
      <c r="R2" s="554"/>
      <c r="S2" s="554"/>
    </row>
    <row r="3" spans="1:19" ht="12.7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553"/>
      <c r="L3" s="554"/>
      <c r="M3" s="554"/>
      <c r="N3" s="554"/>
      <c r="O3" s="554"/>
      <c r="P3" s="554"/>
      <c r="Q3" s="554"/>
      <c r="R3" s="554"/>
      <c r="S3" s="554"/>
    </row>
    <row r="4" spans="1:19" ht="15">
      <c r="A4" s="210"/>
      <c r="B4" s="210"/>
      <c r="C4" s="398">
        <f>'DATA sheet'!X5</f>
        <v>1.4</v>
      </c>
      <c r="D4" s="399"/>
      <c r="E4" s="213"/>
      <c r="F4" s="398">
        <f>'DATA sheet'!AA5</f>
        <v>2.4000000000000004</v>
      </c>
      <c r="G4" s="398"/>
      <c r="H4" s="214"/>
      <c r="I4" s="398">
        <f>C4</f>
        <v>1.4</v>
      </c>
      <c r="J4" s="399"/>
      <c r="K4" s="553"/>
      <c r="L4" s="554"/>
      <c r="M4" s="554"/>
      <c r="N4" s="554"/>
      <c r="O4" s="554"/>
      <c r="P4" s="554"/>
      <c r="Q4" s="554"/>
      <c r="R4" s="554"/>
      <c r="S4" s="554"/>
    </row>
    <row r="5" spans="1:19" ht="12.75">
      <c r="A5" s="210"/>
      <c r="B5" s="210"/>
      <c r="C5" s="210"/>
      <c r="D5" s="210"/>
      <c r="E5" s="345" t="s">
        <v>356</v>
      </c>
      <c r="F5" s="345"/>
      <c r="G5" s="209">
        <f>'DATA sheet'!AB6</f>
        <v>9</v>
      </c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</row>
    <row r="6" spans="1:19" ht="12.75">
      <c r="A6" s="210"/>
      <c r="B6" s="210"/>
      <c r="C6" s="400">
        <f>'DATA sheet'!X7</f>
        <v>1.5</v>
      </c>
      <c r="D6" s="401"/>
      <c r="E6" s="210"/>
      <c r="F6" s="400">
        <f>'DATA sheet'!AA7</f>
        <v>2.25</v>
      </c>
      <c r="G6" s="400"/>
      <c r="H6" s="210"/>
      <c r="I6" s="400">
        <f>'DATA sheet'!AD7</f>
        <v>1.4500000000000002</v>
      </c>
      <c r="J6" s="401"/>
      <c r="K6" s="210"/>
      <c r="L6" s="210"/>
      <c r="M6" s="210"/>
      <c r="N6" s="210"/>
      <c r="O6" s="215">
        <f>'DATA sheet'!AJ7</f>
        <v>5.2</v>
      </c>
      <c r="P6" s="210"/>
      <c r="Q6" s="210"/>
      <c r="R6" s="210"/>
      <c r="S6" s="210"/>
    </row>
    <row r="7" spans="1:19" ht="12.75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</row>
    <row r="8" spans="1:19" ht="12.75">
      <c r="A8" s="210"/>
      <c r="B8" s="208" t="s">
        <v>27</v>
      </c>
      <c r="C8" s="210"/>
      <c r="D8" s="210"/>
      <c r="E8" s="210"/>
      <c r="F8" s="210"/>
      <c r="G8" s="210"/>
      <c r="H8" s="210"/>
      <c r="I8" s="210"/>
      <c r="J8" s="209" t="s">
        <v>116</v>
      </c>
      <c r="K8" s="401">
        <f>'DATA sheet'!AF9</f>
        <v>1.4500000000000002</v>
      </c>
      <c r="L8" s="401"/>
      <c r="M8" s="216">
        <f>I4</f>
        <v>1.4</v>
      </c>
      <c r="N8" s="210"/>
      <c r="O8" s="210"/>
      <c r="P8" s="210"/>
      <c r="Q8" s="210"/>
      <c r="R8" s="210"/>
      <c r="S8" s="210"/>
    </row>
    <row r="9" spans="1:19" ht="12.75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</row>
    <row r="10" spans="1:19" ht="12.75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</row>
    <row r="11" spans="1:19" ht="12.75">
      <c r="A11" s="210"/>
      <c r="B11" s="210"/>
      <c r="C11" s="210"/>
      <c r="D11" s="210"/>
      <c r="E11" s="210"/>
      <c r="F11" s="437" t="s">
        <v>357</v>
      </c>
      <c r="G11" s="437"/>
      <c r="H11" s="437">
        <f>'DATA sheet'!AC12</f>
        <v>6</v>
      </c>
      <c r="I11" s="210"/>
      <c r="J11" s="210"/>
      <c r="K11" s="449">
        <f>'DATA sheet'!AF12</f>
        <v>1.5</v>
      </c>
      <c r="L11" s="449"/>
      <c r="M11" s="448">
        <f>'DATA sheet'!AH12</f>
        <v>1.6000000000000005</v>
      </c>
      <c r="N11" s="217"/>
      <c r="O11" s="215">
        <f>'DATA sheet'!AJ12</f>
        <v>4.4</v>
      </c>
      <c r="P11" s="210"/>
      <c r="Q11" s="210"/>
      <c r="R11" s="210"/>
      <c r="S11" s="210"/>
    </row>
    <row r="12" spans="1:19" ht="12.75">
      <c r="A12" s="559">
        <f>'DATA sheet'!V13</f>
        <v>4.4</v>
      </c>
      <c r="B12" s="437"/>
      <c r="C12" s="210"/>
      <c r="D12" s="210"/>
      <c r="E12" s="210"/>
      <c r="F12" s="437"/>
      <c r="G12" s="437"/>
      <c r="H12" s="437"/>
      <c r="I12" s="210"/>
      <c r="J12" s="210"/>
      <c r="K12" s="449"/>
      <c r="L12" s="449"/>
      <c r="M12" s="448"/>
      <c r="N12" s="217"/>
      <c r="O12" s="210"/>
      <c r="P12" s="210"/>
      <c r="Q12" s="210"/>
      <c r="R12" s="210"/>
      <c r="S12" s="210"/>
    </row>
    <row r="13" spans="1:19" ht="12.75">
      <c r="A13" s="210"/>
      <c r="B13" s="210"/>
      <c r="C13" s="210"/>
      <c r="D13" s="210"/>
      <c r="E13" s="210"/>
      <c r="F13" s="345" t="s">
        <v>356</v>
      </c>
      <c r="G13" s="345"/>
      <c r="H13" s="218">
        <f>'DATA sheet'!AC14</f>
        <v>6</v>
      </c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</row>
    <row r="14" spans="1:19" ht="12.75">
      <c r="A14" s="21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</row>
    <row r="15" spans="1:19" ht="12.75">
      <c r="A15" s="210"/>
      <c r="B15" s="210"/>
      <c r="C15" s="210"/>
      <c r="D15" s="210"/>
      <c r="E15" s="208" t="s">
        <v>6</v>
      </c>
      <c r="F15" s="210"/>
      <c r="G15" s="210"/>
      <c r="H15" s="210"/>
      <c r="I15" s="210"/>
      <c r="J15" s="209" t="s">
        <v>115</v>
      </c>
      <c r="K15" s="401">
        <f>K8</f>
        <v>1.4500000000000002</v>
      </c>
      <c r="L15" s="401"/>
      <c r="M15" s="216">
        <f>M8</f>
        <v>1.4</v>
      </c>
      <c r="N15" s="219"/>
      <c r="O15" s="210"/>
      <c r="P15" s="210"/>
      <c r="Q15" s="210"/>
      <c r="R15" s="210"/>
      <c r="S15" s="210"/>
    </row>
    <row r="16" spans="1:19" ht="12.75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</row>
    <row r="17" spans="1:19" ht="12.75">
      <c r="A17" s="210"/>
      <c r="B17" s="210"/>
      <c r="C17" s="210"/>
      <c r="D17" s="210"/>
      <c r="E17" s="210"/>
      <c r="F17" s="400">
        <f>'DATA sheet'!AA19</f>
        <v>1.5</v>
      </c>
      <c r="G17" s="400"/>
      <c r="H17" s="400"/>
      <c r="I17" s="400">
        <f>I6</f>
        <v>1.4500000000000002</v>
      </c>
      <c r="J17" s="401"/>
      <c r="K17" s="210"/>
      <c r="L17" s="210"/>
      <c r="M17" s="210"/>
      <c r="N17" s="210"/>
      <c r="O17" s="210"/>
      <c r="P17" s="210"/>
      <c r="Q17" s="210"/>
      <c r="R17" s="210"/>
      <c r="S17" s="210"/>
    </row>
    <row r="18" spans="1:19" ht="12.75">
      <c r="A18" s="210"/>
      <c r="B18" s="210"/>
      <c r="C18" s="210"/>
      <c r="D18" s="210"/>
      <c r="E18" s="210"/>
      <c r="F18" s="210"/>
      <c r="G18" s="210"/>
      <c r="H18" s="400">
        <f>I17+F17</f>
        <v>2.95</v>
      </c>
      <c r="I18" s="401"/>
      <c r="J18" s="210"/>
      <c r="K18" s="210"/>
      <c r="L18" s="210"/>
      <c r="M18" s="210"/>
      <c r="N18" s="210"/>
      <c r="O18" s="210"/>
      <c r="P18" s="210"/>
      <c r="Q18" s="210"/>
      <c r="R18" s="210"/>
      <c r="S18" s="210"/>
    </row>
    <row r="19" spans="1:19" ht="12.75">
      <c r="A19" s="210"/>
      <c r="B19" s="210"/>
      <c r="C19" s="210"/>
      <c r="D19" s="210"/>
      <c r="E19" s="210"/>
      <c r="F19" s="400">
        <f>'DATA sheet'!AA21</f>
        <v>5.2</v>
      </c>
      <c r="G19" s="401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</row>
    <row r="20" spans="1:19" ht="12.75">
      <c r="A20" s="227" t="s">
        <v>350</v>
      </c>
      <c r="B20" s="228"/>
      <c r="C20" s="228"/>
      <c r="D20" s="228"/>
      <c r="E20" s="350">
        <f>'DATA sheet'!Z22</f>
        <v>3600</v>
      </c>
      <c r="F20" s="351"/>
      <c r="G20" s="229" t="s">
        <v>2</v>
      </c>
      <c r="H20" s="230">
        <f>'DATA sheet'!AC22</f>
        <v>160</v>
      </c>
      <c r="I20" s="231" t="s">
        <v>0</v>
      </c>
      <c r="J20" s="233">
        <f>'DATA sheet'!AE22</f>
        <v>22</v>
      </c>
      <c r="K20" s="234"/>
      <c r="L20" s="408"/>
      <c r="M20" s="404"/>
      <c r="N20" s="555" t="s">
        <v>359</v>
      </c>
      <c r="O20" s="556"/>
      <c r="P20" s="562" t="s">
        <v>360</v>
      </c>
      <c r="Q20" s="563"/>
      <c r="R20" s="210"/>
      <c r="S20" s="210"/>
    </row>
    <row r="21" spans="1:19" ht="12.75">
      <c r="A21" s="211" t="s">
        <v>352</v>
      </c>
      <c r="B21" s="212"/>
      <c r="C21" s="212"/>
      <c r="D21" s="212"/>
      <c r="E21" s="220" t="s">
        <v>0</v>
      </c>
      <c r="F21" s="232">
        <f>J20</f>
        <v>22</v>
      </c>
      <c r="G21" s="226" t="s">
        <v>18</v>
      </c>
      <c r="H21" s="221">
        <v>1</v>
      </c>
      <c r="I21" s="225" t="s">
        <v>0</v>
      </c>
      <c r="J21" s="222">
        <f>F21-H21</f>
        <v>21</v>
      </c>
      <c r="K21" s="235"/>
      <c r="L21" s="236"/>
      <c r="M21" s="237"/>
      <c r="N21" s="557"/>
      <c r="O21" s="558"/>
      <c r="P21" s="564"/>
      <c r="Q21" s="565"/>
      <c r="R21" s="210"/>
      <c r="S21" s="210"/>
    </row>
    <row r="22" spans="1:19" ht="12.75">
      <c r="A22" s="348" t="s">
        <v>353</v>
      </c>
      <c r="B22" s="421"/>
      <c r="C22" s="421"/>
      <c r="D22" s="421"/>
      <c r="E22" s="421"/>
      <c r="F22" s="431">
        <f>F4*1000</f>
        <v>2400.0000000000005</v>
      </c>
      <c r="G22" s="432"/>
      <c r="H22" s="435" t="s">
        <v>351</v>
      </c>
      <c r="I22" s="440">
        <f>'DATA sheet'!AD24</f>
        <v>250</v>
      </c>
      <c r="J22" s="458" t="s">
        <v>0</v>
      </c>
      <c r="K22" s="346">
        <f>'DATA sheet'!AF24</f>
        <v>9</v>
      </c>
      <c r="L22" s="377" t="s">
        <v>1</v>
      </c>
      <c r="M22" s="346">
        <f>I22</f>
        <v>250</v>
      </c>
      <c r="N22" s="549">
        <f>M22*K22</f>
        <v>2250</v>
      </c>
      <c r="O22" s="561"/>
      <c r="P22" s="551">
        <f>N22/1000</f>
        <v>2.25</v>
      </c>
      <c r="Q22" s="444"/>
      <c r="R22" s="210"/>
      <c r="S22" s="210"/>
    </row>
    <row r="23" spans="1:19" ht="12.75">
      <c r="A23" s="422"/>
      <c r="B23" s="423"/>
      <c r="C23" s="423"/>
      <c r="D23" s="423"/>
      <c r="E23" s="423"/>
      <c r="F23" s="433"/>
      <c r="G23" s="434"/>
      <c r="H23" s="436"/>
      <c r="I23" s="347"/>
      <c r="J23" s="459"/>
      <c r="K23" s="347"/>
      <c r="L23" s="436"/>
      <c r="M23" s="347"/>
      <c r="N23" s="549"/>
      <c r="O23" s="561"/>
      <c r="P23" s="552"/>
      <c r="Q23" s="445"/>
      <c r="R23" s="210"/>
      <c r="S23" s="210"/>
    </row>
    <row r="24" spans="1:19" ht="12.75">
      <c r="A24" s="424" t="s">
        <v>354</v>
      </c>
      <c r="B24" s="425"/>
      <c r="C24" s="425"/>
      <c r="D24" s="425"/>
      <c r="E24" s="425"/>
      <c r="F24" s="426">
        <f>'DATA sheet'!AA26</f>
        <v>1600.0000000000005</v>
      </c>
      <c r="G24" s="427"/>
      <c r="H24" s="377" t="s">
        <v>2</v>
      </c>
      <c r="I24" s="346">
        <f>I22</f>
        <v>250</v>
      </c>
      <c r="J24" s="430" t="s">
        <v>0</v>
      </c>
      <c r="K24" s="346">
        <f>ROUNDDOWN(F24/I24,)</f>
        <v>6</v>
      </c>
      <c r="L24" s="377" t="s">
        <v>1</v>
      </c>
      <c r="M24" s="346">
        <f>I24</f>
        <v>250</v>
      </c>
      <c r="N24" s="547">
        <f>M24*K24</f>
        <v>1500</v>
      </c>
      <c r="O24" s="548"/>
      <c r="P24" s="559">
        <f>N24/1000</f>
        <v>1.5</v>
      </c>
      <c r="Q24" s="560"/>
      <c r="R24" s="210"/>
      <c r="S24" s="210"/>
    </row>
    <row r="25" spans="1:19" ht="12.75">
      <c r="A25" s="424"/>
      <c r="B25" s="425"/>
      <c r="C25" s="425"/>
      <c r="D25" s="425"/>
      <c r="E25" s="425"/>
      <c r="F25" s="428"/>
      <c r="G25" s="429"/>
      <c r="H25" s="377"/>
      <c r="I25" s="347"/>
      <c r="J25" s="430"/>
      <c r="K25" s="347"/>
      <c r="L25" s="377"/>
      <c r="M25" s="347"/>
      <c r="N25" s="549"/>
      <c r="O25" s="550"/>
      <c r="P25" s="559"/>
      <c r="Q25" s="560"/>
      <c r="R25" s="210"/>
      <c r="S25" s="210"/>
    </row>
    <row r="26" spans="1:19" ht="12.75">
      <c r="A26" s="348" t="s">
        <v>355</v>
      </c>
      <c r="B26" s="421"/>
      <c r="C26" s="421"/>
      <c r="D26" s="421"/>
      <c r="E26" s="421"/>
      <c r="F26" s="443">
        <f>J21</f>
        <v>21</v>
      </c>
      <c r="G26" s="432"/>
      <c r="H26" s="441" t="s">
        <v>18</v>
      </c>
      <c r="I26" s="435">
        <f>'DATA sheet'!AD28</f>
        <v>15</v>
      </c>
      <c r="J26" s="441" t="s">
        <v>0</v>
      </c>
      <c r="K26" s="442">
        <f>F26-I26</f>
        <v>6</v>
      </c>
      <c r="L26" s="440" t="s">
        <v>1</v>
      </c>
      <c r="M26" s="435">
        <v>250</v>
      </c>
      <c r="N26" s="547">
        <f>M26*K26</f>
        <v>1500</v>
      </c>
      <c r="O26" s="548"/>
      <c r="P26" s="551">
        <f>N26/1000</f>
        <v>1.5</v>
      </c>
      <c r="Q26" s="444"/>
      <c r="R26" s="210"/>
      <c r="S26" s="210"/>
    </row>
    <row r="27" spans="1:19" ht="12.75">
      <c r="A27" s="422"/>
      <c r="B27" s="423"/>
      <c r="C27" s="423"/>
      <c r="D27" s="423"/>
      <c r="E27" s="423"/>
      <c r="F27" s="433"/>
      <c r="G27" s="434"/>
      <c r="H27" s="347"/>
      <c r="I27" s="436"/>
      <c r="J27" s="347"/>
      <c r="K27" s="436"/>
      <c r="L27" s="347"/>
      <c r="M27" s="436"/>
      <c r="N27" s="566"/>
      <c r="O27" s="567"/>
      <c r="P27" s="552"/>
      <c r="Q27" s="445"/>
      <c r="R27" s="210"/>
      <c r="S27" s="210"/>
    </row>
    <row r="28" spans="1:19" ht="12.75">
      <c r="A28" s="318"/>
      <c r="B28" s="318"/>
      <c r="C28" s="318"/>
      <c r="D28" s="318"/>
      <c r="E28" s="318"/>
      <c r="F28" s="207"/>
      <c r="G28" s="207"/>
      <c r="H28" s="207"/>
      <c r="I28" s="207"/>
      <c r="J28" s="207"/>
      <c r="K28" s="207"/>
      <c r="L28" s="207"/>
      <c r="M28" s="207"/>
      <c r="N28" s="316"/>
      <c r="O28" s="316"/>
      <c r="P28" s="319"/>
      <c r="Q28" s="319"/>
      <c r="R28" s="210"/>
      <c r="S28" s="210"/>
    </row>
    <row r="29" spans="1:19" ht="12.75">
      <c r="A29" s="320"/>
      <c r="B29" s="320"/>
      <c r="C29" s="320"/>
      <c r="D29" s="320"/>
      <c r="E29" s="320"/>
      <c r="F29" s="321"/>
      <c r="G29" s="321"/>
      <c r="H29" s="321"/>
      <c r="I29" s="321"/>
      <c r="J29" s="321"/>
      <c r="K29" s="321"/>
      <c r="L29" s="321"/>
      <c r="M29" s="321"/>
      <c r="N29" s="322"/>
      <c r="O29" s="322"/>
      <c r="P29" s="36"/>
      <c r="Q29" s="36"/>
      <c r="R29" s="21"/>
      <c r="S29" s="21"/>
    </row>
    <row r="30" spans="1:19" ht="12.75">
      <c r="A30" s="324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325"/>
    </row>
    <row r="31" spans="1:19" ht="15">
      <c r="A31" s="248"/>
      <c r="B31" s="260"/>
      <c r="C31" s="378">
        <f>'DATA sheet'!D23</f>
        <v>1.5</v>
      </c>
      <c r="D31" s="378"/>
      <c r="E31" s="260"/>
      <c r="F31" s="260"/>
      <c r="G31" s="260"/>
      <c r="H31" s="260"/>
      <c r="I31" s="260"/>
      <c r="J31" s="378">
        <f>'DATA sheet'!K23</f>
        <v>2.25</v>
      </c>
      <c r="K31" s="407"/>
      <c r="L31" s="255"/>
      <c r="M31" s="255"/>
      <c r="N31" s="255"/>
      <c r="O31" s="255"/>
      <c r="P31" s="378">
        <f>'DATA sheet'!Q23</f>
        <v>1.4500000000000002</v>
      </c>
      <c r="Q31" s="378"/>
      <c r="R31" s="255"/>
      <c r="S31" s="258"/>
    </row>
    <row r="32" spans="1:19" ht="15">
      <c r="A32" s="387">
        <f>'DATA sheet'!B24</f>
        <v>230</v>
      </c>
      <c r="B32" s="260"/>
      <c r="C32" s="260"/>
      <c r="D32" s="260"/>
      <c r="E32" s="260"/>
      <c r="F32" s="260"/>
      <c r="G32" s="260"/>
      <c r="H32" s="260"/>
      <c r="I32" s="260"/>
      <c r="J32" s="255"/>
      <c r="K32" s="255"/>
      <c r="L32" s="255"/>
      <c r="M32" s="255"/>
      <c r="N32" s="255"/>
      <c r="O32" s="255"/>
      <c r="P32" s="255"/>
      <c r="Q32" s="255"/>
      <c r="R32" s="255"/>
      <c r="S32" s="258"/>
    </row>
    <row r="33" spans="1:19" ht="15">
      <c r="A33" s="388"/>
      <c r="B33" s="249"/>
      <c r="C33" s="249"/>
      <c r="D33" s="249"/>
      <c r="E33" s="249"/>
      <c r="F33" s="249"/>
      <c r="G33" s="249"/>
      <c r="H33" s="268" t="s">
        <v>311</v>
      </c>
      <c r="I33" s="269">
        <f>'DATA sheet'!J25</f>
        <v>10</v>
      </c>
      <c r="J33" s="268" t="s">
        <v>340</v>
      </c>
      <c r="K33" s="268"/>
      <c r="L33" s="268"/>
      <c r="M33" s="268"/>
      <c r="N33" s="249"/>
      <c r="O33" s="249"/>
      <c r="P33" s="249"/>
      <c r="Q33" s="249"/>
      <c r="R33" s="249"/>
      <c r="S33" s="270"/>
    </row>
    <row r="34" spans="1:19" ht="15">
      <c r="A34" s="248"/>
      <c r="B34" s="249"/>
      <c r="C34" s="249"/>
      <c r="D34" s="249"/>
      <c r="E34" s="249"/>
      <c r="F34" s="249"/>
      <c r="G34" s="249"/>
      <c r="H34" s="249"/>
      <c r="I34" s="249"/>
      <c r="J34" s="268" t="s">
        <v>341</v>
      </c>
      <c r="K34" s="249"/>
      <c r="L34" s="249"/>
      <c r="M34" s="249"/>
      <c r="N34" s="249"/>
      <c r="O34" s="249"/>
      <c r="P34" s="249"/>
      <c r="Q34" s="249"/>
      <c r="R34" s="249"/>
      <c r="S34" s="270"/>
    </row>
    <row r="35" spans="1:19" ht="15">
      <c r="A35" s="248"/>
      <c r="B35" s="249"/>
      <c r="C35" s="249"/>
      <c r="D35" s="249"/>
      <c r="E35" s="249"/>
      <c r="F35" s="249"/>
      <c r="G35" s="249"/>
      <c r="H35" s="249"/>
      <c r="I35" s="249"/>
      <c r="J35" s="249"/>
      <c r="K35" s="241">
        <f>'DATA sheet'!L27</f>
        <v>10</v>
      </c>
      <c r="L35" s="271" t="s">
        <v>342</v>
      </c>
      <c r="M35" s="272"/>
      <c r="N35" s="268"/>
      <c r="O35" s="249"/>
      <c r="P35" s="249"/>
      <c r="Q35" s="249"/>
      <c r="R35" s="249"/>
      <c r="S35" s="270"/>
    </row>
    <row r="36" spans="1:19" ht="15">
      <c r="A36" s="248"/>
      <c r="B36" s="249"/>
      <c r="C36" s="249"/>
      <c r="D36" s="273">
        <f>ROUND((C31+J31+P31/2)/3,1)</f>
        <v>1.5</v>
      </c>
      <c r="E36" s="249"/>
      <c r="F36" s="249"/>
      <c r="G36" s="249"/>
      <c r="H36" s="249"/>
      <c r="I36" s="249"/>
      <c r="J36" s="249"/>
      <c r="K36" s="274">
        <f>'DATA sheet'!L28</f>
        <v>250</v>
      </c>
      <c r="L36" s="275" t="s">
        <v>333</v>
      </c>
      <c r="M36" s="276"/>
      <c r="N36" s="268"/>
      <c r="O36" s="249"/>
      <c r="P36" s="249"/>
      <c r="Q36" s="249"/>
      <c r="R36" s="249"/>
      <c r="S36" s="270"/>
    </row>
    <row r="37" spans="1:19" ht="15">
      <c r="A37" s="248"/>
      <c r="B37" s="249"/>
      <c r="C37" s="254"/>
      <c r="D37" s="277" t="s">
        <v>339</v>
      </c>
      <c r="E37" s="278"/>
      <c r="F37" s="27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70"/>
    </row>
    <row r="38" spans="1:19" ht="15">
      <c r="A38" s="248"/>
      <c r="B38" s="249"/>
      <c r="C38" s="254"/>
      <c r="D38" s="280">
        <f>'DATA sheet'!E30</f>
        <v>10</v>
      </c>
      <c r="E38" s="268" t="s">
        <v>338</v>
      </c>
      <c r="F38" s="281"/>
      <c r="G38" s="249"/>
      <c r="H38" s="249"/>
      <c r="I38" s="249"/>
      <c r="J38" s="249"/>
      <c r="K38" s="249"/>
      <c r="L38" s="282">
        <f>'DATA sheet'!M30</f>
        <v>250</v>
      </c>
      <c r="M38" s="249"/>
      <c r="N38" s="249"/>
      <c r="O38" s="249"/>
      <c r="P38" s="249"/>
      <c r="Q38" s="249"/>
      <c r="R38" s="249"/>
      <c r="S38" s="270"/>
    </row>
    <row r="39" spans="1:19" ht="15">
      <c r="A39" s="248"/>
      <c r="B39" s="249"/>
      <c r="C39" s="254"/>
      <c r="D39" s="274">
        <f>'DATA sheet'!E31</f>
        <v>90</v>
      </c>
      <c r="E39" s="275" t="s">
        <v>333</v>
      </c>
      <c r="F39" s="276"/>
      <c r="G39" s="249"/>
      <c r="H39" s="254"/>
      <c r="I39" s="254"/>
      <c r="J39" s="254"/>
      <c r="K39" s="249"/>
      <c r="L39" s="249"/>
      <c r="M39" s="282">
        <f>'DATA sheet'!N31</f>
        <v>160</v>
      </c>
      <c r="N39" s="249"/>
      <c r="O39" s="249"/>
      <c r="P39" s="249"/>
      <c r="Q39" s="283">
        <f>K35</f>
        <v>10</v>
      </c>
      <c r="R39" s="271" t="s">
        <v>342</v>
      </c>
      <c r="S39" s="272"/>
    </row>
    <row r="40" spans="1:19" ht="15">
      <c r="A40" s="248"/>
      <c r="B40" s="249"/>
      <c r="C40" s="249"/>
      <c r="D40" s="409"/>
      <c r="E40" s="409"/>
      <c r="F40" s="409"/>
      <c r="G40" s="249"/>
      <c r="H40" s="284" t="s">
        <v>339</v>
      </c>
      <c r="I40" s="285"/>
      <c r="J40" s="286"/>
      <c r="K40" s="249"/>
      <c r="L40" s="249"/>
      <c r="M40" s="249"/>
      <c r="N40" s="249"/>
      <c r="O40" s="249"/>
      <c r="P40" s="249"/>
      <c r="Q40" s="287">
        <f>'DATA sheet'!R32</f>
        <v>250</v>
      </c>
      <c r="R40" s="275" t="s">
        <v>333</v>
      </c>
      <c r="S40" s="276"/>
    </row>
    <row r="41" spans="1:19" ht="15">
      <c r="A41" s="248"/>
      <c r="B41" s="249"/>
      <c r="C41" s="249"/>
      <c r="D41" s="249"/>
      <c r="E41" s="249"/>
      <c r="F41" s="249"/>
      <c r="G41" s="249"/>
      <c r="H41" s="280">
        <f>D38</f>
        <v>10</v>
      </c>
      <c r="I41" s="268" t="s">
        <v>338</v>
      </c>
      <c r="J41" s="281"/>
      <c r="K41" s="249"/>
      <c r="L41" s="249"/>
      <c r="M41" s="249"/>
      <c r="N41" s="249"/>
      <c r="O41" s="254"/>
      <c r="P41" s="288" t="s">
        <v>343</v>
      </c>
      <c r="Q41" s="249"/>
      <c r="R41" s="249"/>
      <c r="S41" s="270"/>
    </row>
    <row r="42" spans="1:19" ht="15">
      <c r="A42" s="248"/>
      <c r="B42" s="249"/>
      <c r="C42" s="249"/>
      <c r="D42" s="249"/>
      <c r="E42" s="249"/>
      <c r="F42" s="249"/>
      <c r="G42" s="249"/>
      <c r="H42" s="289">
        <f>2*D39</f>
        <v>180</v>
      </c>
      <c r="I42" s="275" t="s">
        <v>333</v>
      </c>
      <c r="J42" s="276"/>
      <c r="K42" s="249"/>
      <c r="L42" s="249"/>
      <c r="M42" s="249"/>
      <c r="N42" s="249"/>
      <c r="O42" s="249"/>
      <c r="P42" s="249"/>
      <c r="Q42" s="249"/>
      <c r="R42" s="249"/>
      <c r="S42" s="290">
        <f>Design!H28</f>
        <v>0</v>
      </c>
    </row>
    <row r="43" spans="1:19" ht="15">
      <c r="A43" s="248"/>
      <c r="B43" s="249"/>
      <c r="C43" s="249"/>
      <c r="D43" s="249"/>
      <c r="E43" s="249"/>
      <c r="F43" s="249"/>
      <c r="G43" s="249"/>
      <c r="H43" s="409" t="s">
        <v>362</v>
      </c>
      <c r="I43" s="409"/>
      <c r="J43" s="409"/>
      <c r="K43" s="249"/>
      <c r="L43" s="249"/>
      <c r="M43" s="249"/>
      <c r="N43" s="249"/>
      <c r="O43" s="249"/>
      <c r="P43" s="249"/>
      <c r="Q43" s="249"/>
      <c r="R43" s="300" t="s">
        <v>344</v>
      </c>
      <c r="S43" s="301"/>
    </row>
    <row r="44" spans="1:19" ht="15">
      <c r="A44" s="248"/>
      <c r="B44" s="249"/>
      <c r="C44" s="249"/>
      <c r="D44" s="249"/>
      <c r="E44" s="249"/>
      <c r="F44" s="249"/>
      <c r="G44" s="249"/>
      <c r="H44" s="254"/>
      <c r="I44" s="249"/>
      <c r="J44" s="249"/>
      <c r="K44" s="249"/>
      <c r="L44" s="249"/>
      <c r="M44" s="254"/>
      <c r="N44" s="273">
        <f>D36</f>
        <v>1.5</v>
      </c>
      <c r="O44" s="254"/>
      <c r="P44" s="249"/>
      <c r="Q44" s="249"/>
      <c r="R44" s="302" t="s">
        <v>345</v>
      </c>
      <c r="S44" s="298"/>
    </row>
    <row r="45" spans="1:19" ht="15">
      <c r="A45" s="248"/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392" t="s">
        <v>339</v>
      </c>
      <c r="N45" s="393"/>
      <c r="O45" s="394"/>
      <c r="P45" s="249"/>
      <c r="Q45" s="249"/>
      <c r="R45" s="249"/>
      <c r="S45" s="270"/>
    </row>
    <row r="46" spans="1:19" ht="15">
      <c r="A46" s="248"/>
      <c r="B46" s="249"/>
      <c r="C46" s="249"/>
      <c r="D46" s="249"/>
      <c r="E46" s="249"/>
      <c r="F46" s="249"/>
      <c r="G46" s="249"/>
      <c r="H46" s="31"/>
      <c r="I46" s="249"/>
      <c r="J46" s="249"/>
      <c r="K46" s="249"/>
      <c r="L46" s="249"/>
      <c r="M46" s="280">
        <f>H41</f>
        <v>10</v>
      </c>
      <c r="N46" s="268" t="s">
        <v>338</v>
      </c>
      <c r="O46" s="281"/>
      <c r="P46" s="249"/>
      <c r="Q46" s="249"/>
      <c r="R46" s="249"/>
      <c r="S46" s="270"/>
    </row>
    <row r="47" spans="1:19" ht="15">
      <c r="A47" s="248"/>
      <c r="B47" s="249"/>
      <c r="C47" s="249"/>
      <c r="D47" s="249"/>
      <c r="E47" s="249"/>
      <c r="F47" s="249"/>
      <c r="G47" s="249"/>
      <c r="H47" s="303" t="s">
        <v>336</v>
      </c>
      <c r="I47" s="249"/>
      <c r="J47" s="249"/>
      <c r="K47" s="249"/>
      <c r="L47" s="249"/>
      <c r="M47" s="274">
        <f>D39</f>
        <v>90</v>
      </c>
      <c r="N47" s="275" t="s">
        <v>333</v>
      </c>
      <c r="O47" s="276"/>
      <c r="P47" s="249"/>
      <c r="Q47" s="249"/>
      <c r="R47" s="249"/>
      <c r="S47" s="270"/>
    </row>
    <row r="48" spans="1:19" ht="15">
      <c r="A48" s="248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38"/>
      <c r="N48" s="268"/>
      <c r="O48" s="268"/>
      <c r="P48" s="249"/>
      <c r="Q48" s="249"/>
      <c r="R48" s="249"/>
      <c r="S48" s="270"/>
    </row>
    <row r="49" spans="1:19" ht="15">
      <c r="A49" s="248"/>
      <c r="B49" s="249"/>
      <c r="C49" s="249"/>
      <c r="D49" s="249"/>
      <c r="E49" s="249"/>
      <c r="F49" s="305">
        <f>'DATA sheet'!G41</f>
        <v>10</v>
      </c>
      <c r="G49" s="306" t="s">
        <v>334</v>
      </c>
      <c r="H49" s="306"/>
      <c r="I49" s="307">
        <f>'DATA sheet'!J41</f>
        <v>250</v>
      </c>
      <c r="J49" s="306" t="s">
        <v>333</v>
      </c>
      <c r="K49" s="308"/>
      <c r="L49" s="268"/>
      <c r="M49" s="254"/>
      <c r="N49" s="254"/>
      <c r="O49" s="254"/>
      <c r="P49" s="249"/>
      <c r="Q49" s="249"/>
      <c r="R49" s="249"/>
      <c r="S49" s="270"/>
    </row>
    <row r="50" spans="1:19" ht="15">
      <c r="A50" s="248"/>
      <c r="B50" s="249"/>
      <c r="C50" s="249"/>
      <c r="D50" s="249"/>
      <c r="E50" s="249"/>
      <c r="F50" s="249"/>
      <c r="G50" s="249"/>
      <c r="H50" s="249"/>
      <c r="I50" s="249"/>
      <c r="J50" s="372">
        <f>P31*1000</f>
        <v>1450.0000000000002</v>
      </c>
      <c r="K50" s="372"/>
      <c r="L50" s="249"/>
      <c r="M50" s="249"/>
      <c r="N50" s="249"/>
      <c r="O50" s="249"/>
      <c r="P50" s="249"/>
      <c r="Q50" s="249"/>
      <c r="R50" s="249"/>
      <c r="S50" s="270"/>
    </row>
    <row r="51" spans="1:19" ht="15">
      <c r="A51" s="248"/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407">
        <f>'DATA sheet'!Q43</f>
        <v>80</v>
      </c>
      <c r="Q51" s="407" t="s">
        <v>20</v>
      </c>
      <c r="R51" s="249"/>
      <c r="S51" s="270"/>
    </row>
    <row r="52" spans="1:19" ht="15">
      <c r="A52" s="248"/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407"/>
      <c r="Q52" s="407"/>
      <c r="R52" s="249"/>
      <c r="S52" s="270"/>
    </row>
    <row r="53" spans="1:19" ht="15">
      <c r="A53" s="261"/>
      <c r="B53" s="254"/>
      <c r="C53" s="254"/>
      <c r="D53" s="249"/>
      <c r="E53" s="249"/>
      <c r="F53" s="254"/>
      <c r="G53" s="254"/>
      <c r="H53" s="254"/>
      <c r="I53" s="249"/>
      <c r="J53" s="249"/>
      <c r="K53" s="249"/>
      <c r="L53" s="292" t="s">
        <v>311</v>
      </c>
      <c r="M53" s="291">
        <f>'DATA sheet'!N45</f>
        <v>10</v>
      </c>
      <c r="N53" s="293" t="s">
        <v>361</v>
      </c>
      <c r="O53" s="268"/>
      <c r="P53" s="249"/>
      <c r="Q53" s="249"/>
      <c r="R53" s="249"/>
      <c r="S53" s="270"/>
    </row>
    <row r="54" spans="1:19" ht="15">
      <c r="A54" s="305">
        <f>'DATA sheet'!B46</f>
        <v>10</v>
      </c>
      <c r="B54" s="309" t="s">
        <v>334</v>
      </c>
      <c r="C54" s="310"/>
      <c r="D54" s="311">
        <f>'DATA sheet'!E46</f>
        <v>90</v>
      </c>
      <c r="E54" s="309" t="s">
        <v>333</v>
      </c>
      <c r="F54" s="312"/>
      <c r="G54" s="254"/>
      <c r="H54" s="254"/>
      <c r="I54" s="249"/>
      <c r="J54" s="249"/>
      <c r="K54" s="249"/>
      <c r="L54" s="373" t="s">
        <v>335</v>
      </c>
      <c r="M54" s="354"/>
      <c r="N54" s="349"/>
      <c r="O54" s="268"/>
      <c r="P54" s="249"/>
      <c r="Q54" s="249"/>
      <c r="R54" s="249"/>
      <c r="S54" s="270"/>
    </row>
    <row r="55" spans="1:19" ht="15">
      <c r="A55" s="248"/>
      <c r="B55" s="249"/>
      <c r="C55" s="249"/>
      <c r="D55" s="249"/>
      <c r="E55" s="249"/>
      <c r="F55" s="254"/>
      <c r="G55" s="254"/>
      <c r="H55" s="254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70"/>
    </row>
    <row r="56" spans="1:19" ht="15">
      <c r="A56" s="241">
        <f>M46</f>
        <v>10</v>
      </c>
      <c r="B56" s="271" t="s">
        <v>338</v>
      </c>
      <c r="C56" s="271"/>
      <c r="D56" s="314">
        <f>H42</f>
        <v>180</v>
      </c>
      <c r="E56" s="271" t="s">
        <v>333</v>
      </c>
      <c r="F56" s="272"/>
      <c r="G56" s="254"/>
      <c r="H56" s="254"/>
      <c r="I56" s="249"/>
      <c r="J56" s="249"/>
      <c r="K56" s="249"/>
      <c r="L56" s="241">
        <f>'DATA sheet'!M48</f>
        <v>4</v>
      </c>
      <c r="M56" s="291">
        <f>'DATA sheet'!N48</f>
        <v>-20</v>
      </c>
      <c r="N56" s="294" t="s">
        <v>361</v>
      </c>
      <c r="O56" s="249"/>
      <c r="P56" s="249"/>
      <c r="Q56" s="249"/>
      <c r="R56" s="249"/>
      <c r="S56" s="270"/>
    </row>
    <row r="57" spans="1:19" ht="15">
      <c r="A57" s="410" t="s">
        <v>339</v>
      </c>
      <c r="B57" s="411"/>
      <c r="C57" s="411"/>
      <c r="D57" s="411"/>
      <c r="E57" s="411"/>
      <c r="F57" s="412"/>
      <c r="G57" s="254"/>
      <c r="H57" s="254"/>
      <c r="I57" s="249"/>
      <c r="J57" s="249"/>
      <c r="K57" s="249"/>
      <c r="L57" s="373" t="s">
        <v>337</v>
      </c>
      <c r="M57" s="354"/>
      <c r="N57" s="349"/>
      <c r="O57" s="249"/>
      <c r="P57" s="249"/>
      <c r="Q57" s="249"/>
      <c r="R57" s="249"/>
      <c r="S57" s="270"/>
    </row>
    <row r="58" spans="1:19" ht="15">
      <c r="A58" s="315"/>
      <c r="B58" s="313"/>
      <c r="C58" s="313"/>
      <c r="D58" s="249"/>
      <c r="E58" s="249"/>
      <c r="F58" s="249"/>
      <c r="G58" s="249"/>
      <c r="H58" s="249"/>
      <c r="I58" s="249"/>
      <c r="J58" s="242">
        <f>'DATA sheet'!K50</f>
        <v>200</v>
      </c>
      <c r="K58" s="249"/>
      <c r="L58" s="249"/>
      <c r="M58" s="249"/>
      <c r="N58" s="249"/>
      <c r="O58" s="249"/>
      <c r="P58" s="249"/>
      <c r="Q58" s="249"/>
      <c r="R58" s="249"/>
      <c r="S58" s="270"/>
    </row>
    <row r="59" spans="1:19" ht="15">
      <c r="A59" s="261"/>
      <c r="B59" s="313"/>
      <c r="C59" s="313"/>
      <c r="D59" s="249"/>
      <c r="E59" s="249"/>
      <c r="F59" s="249"/>
      <c r="G59" s="249"/>
      <c r="H59" s="304" t="s">
        <v>332</v>
      </c>
      <c r="I59" s="249"/>
      <c r="J59" s="242"/>
      <c r="K59" s="249"/>
      <c r="L59" s="249"/>
      <c r="M59" s="249"/>
      <c r="N59" s="249"/>
      <c r="O59" s="249"/>
      <c r="P59" s="249"/>
      <c r="Q59" s="249"/>
      <c r="R59" s="249"/>
      <c r="S59" s="270"/>
    </row>
    <row r="60" spans="1:19" ht="15">
      <c r="A60" s="295" t="s">
        <v>313</v>
      </c>
      <c r="B60" s="296"/>
      <c r="C60" s="296"/>
      <c r="D60" s="296"/>
      <c r="E60" s="296"/>
      <c r="F60" s="296"/>
      <c r="G60" s="297"/>
      <c r="H60" s="323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8"/>
    </row>
  </sheetData>
  <sheetProtection password="DC95" sheet="1" objects="1" scenarios="1"/>
  <mergeCells count="68">
    <mergeCell ref="M11:M12"/>
    <mergeCell ref="A12:B12"/>
    <mergeCell ref="C1:J1"/>
    <mergeCell ref="C4:D4"/>
    <mergeCell ref="F4:G4"/>
    <mergeCell ref="I4:J4"/>
    <mergeCell ref="E5:F5"/>
    <mergeCell ref="C6:D6"/>
    <mergeCell ref="F6:G6"/>
    <mergeCell ref="I6:J6"/>
    <mergeCell ref="K8:L8"/>
    <mergeCell ref="F11:G12"/>
    <mergeCell ref="H11:H12"/>
    <mergeCell ref="K11:L12"/>
    <mergeCell ref="J22:J23"/>
    <mergeCell ref="K22:K23"/>
    <mergeCell ref="F13:G13"/>
    <mergeCell ref="K15:L15"/>
    <mergeCell ref="E20:F20"/>
    <mergeCell ref="L20:M20"/>
    <mergeCell ref="F17:H17"/>
    <mergeCell ref="I17:J17"/>
    <mergeCell ref="H18:I18"/>
    <mergeCell ref="F19:G19"/>
    <mergeCell ref="A22:E23"/>
    <mergeCell ref="F22:G23"/>
    <mergeCell ref="H22:H23"/>
    <mergeCell ref="I22:I23"/>
    <mergeCell ref="H24:H25"/>
    <mergeCell ref="I24:I25"/>
    <mergeCell ref="N26:O27"/>
    <mergeCell ref="A26:E27"/>
    <mergeCell ref="F26:G27"/>
    <mergeCell ref="H26:H27"/>
    <mergeCell ref="I26:I27"/>
    <mergeCell ref="J26:J27"/>
    <mergeCell ref="J24:J25"/>
    <mergeCell ref="K24:K25"/>
    <mergeCell ref="A32:A33"/>
    <mergeCell ref="D40:F40"/>
    <mergeCell ref="A24:E25"/>
    <mergeCell ref="F24:G25"/>
    <mergeCell ref="J50:K50"/>
    <mergeCell ref="P51:P52"/>
    <mergeCell ref="K26:K27"/>
    <mergeCell ref="L26:L27"/>
    <mergeCell ref="M26:M27"/>
    <mergeCell ref="P31:Q31"/>
    <mergeCell ref="K2:S4"/>
    <mergeCell ref="N20:O21"/>
    <mergeCell ref="P22:Q23"/>
    <mergeCell ref="P24:Q25"/>
    <mergeCell ref="N22:O23"/>
    <mergeCell ref="L22:L23"/>
    <mergeCell ref="M22:M23"/>
    <mergeCell ref="L24:L25"/>
    <mergeCell ref="M24:M25"/>
    <mergeCell ref="P20:Q21"/>
    <mergeCell ref="N24:O25"/>
    <mergeCell ref="Q51:Q52"/>
    <mergeCell ref="L54:N54"/>
    <mergeCell ref="A57:F57"/>
    <mergeCell ref="L57:N57"/>
    <mergeCell ref="P26:Q27"/>
    <mergeCell ref="H43:J43"/>
    <mergeCell ref="C31:D31"/>
    <mergeCell ref="J31:K31"/>
    <mergeCell ref="M45:O45"/>
  </mergeCells>
  <hyperlinks>
    <hyperlink ref="A60" r:id="rId1" display="pk_nandwana@yahoo.co.i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AI516"/>
  <sheetViews>
    <sheetView zoomScalePageLayoutView="0" workbookViewId="0" topLeftCell="A37">
      <selection activeCell="H64" sqref="H64"/>
    </sheetView>
  </sheetViews>
  <sheetFormatPr defaultColWidth="9.140625" defaultRowHeight="12.75"/>
  <sheetData>
    <row r="1" spans="1:20" ht="16.5">
      <c r="A1" s="629" t="s">
        <v>30</v>
      </c>
      <c r="B1" s="630"/>
      <c r="C1" s="630"/>
      <c r="D1" s="630"/>
      <c r="E1" s="630"/>
      <c r="F1" s="630"/>
      <c r="G1" s="630"/>
      <c r="H1" s="631"/>
      <c r="I1" s="34"/>
      <c r="J1" s="632" t="s">
        <v>31</v>
      </c>
      <c r="K1" s="633"/>
      <c r="L1" s="633"/>
      <c r="M1" s="633"/>
      <c r="N1" s="633"/>
      <c r="O1" s="633"/>
      <c r="P1" s="633"/>
      <c r="Q1" s="633"/>
      <c r="R1" s="633"/>
      <c r="S1" s="634"/>
      <c r="T1" s="141"/>
    </row>
    <row r="2" spans="1:20" ht="12.75">
      <c r="A2" s="628" t="s">
        <v>32</v>
      </c>
      <c r="B2" s="628"/>
      <c r="C2" s="142" t="s">
        <v>33</v>
      </c>
      <c r="D2" s="142" t="s">
        <v>34</v>
      </c>
      <c r="E2" s="142" t="s">
        <v>35</v>
      </c>
      <c r="F2" s="142" t="s">
        <v>36</v>
      </c>
      <c r="G2" s="142" t="s">
        <v>37</v>
      </c>
      <c r="H2" s="142" t="s">
        <v>38</v>
      </c>
      <c r="I2" s="32"/>
      <c r="J2" s="143" t="s">
        <v>32</v>
      </c>
      <c r="K2" s="144" t="s">
        <v>39</v>
      </c>
      <c r="L2" s="145" t="s">
        <v>33</v>
      </c>
      <c r="M2" s="144" t="s">
        <v>34</v>
      </c>
      <c r="N2" s="144" t="s">
        <v>35</v>
      </c>
      <c r="O2" s="144" t="s">
        <v>36</v>
      </c>
      <c r="P2" s="144" t="s">
        <v>37</v>
      </c>
      <c r="Q2" s="144" t="s">
        <v>38</v>
      </c>
      <c r="R2" s="144" t="s">
        <v>40</v>
      </c>
      <c r="S2" s="144" t="s">
        <v>41</v>
      </c>
      <c r="T2" s="146"/>
    </row>
    <row r="3" spans="1:20" ht="15.75">
      <c r="A3" s="628" t="s">
        <v>42</v>
      </c>
      <c r="B3" s="628"/>
      <c r="C3" s="142">
        <v>18.67</v>
      </c>
      <c r="D3" s="142">
        <v>13.33</v>
      </c>
      <c r="E3" s="142">
        <v>10.98</v>
      </c>
      <c r="F3" s="142">
        <v>9.33</v>
      </c>
      <c r="G3" s="142">
        <v>8.11</v>
      </c>
      <c r="H3" s="142">
        <v>7.18</v>
      </c>
      <c r="I3" s="32"/>
      <c r="J3" s="147" t="s">
        <v>43</v>
      </c>
      <c r="K3" s="148" t="s">
        <v>44</v>
      </c>
      <c r="L3" s="144">
        <v>0.6</v>
      </c>
      <c r="M3" s="144">
        <v>0.8</v>
      </c>
      <c r="N3" s="144">
        <v>0.9</v>
      </c>
      <c r="O3" s="144">
        <v>1</v>
      </c>
      <c r="P3" s="144">
        <v>1.1</v>
      </c>
      <c r="Q3" s="144">
        <v>1.2</v>
      </c>
      <c r="R3" s="144">
        <v>1.3</v>
      </c>
      <c r="S3" s="144">
        <v>1.4</v>
      </c>
      <c r="T3" s="146"/>
    </row>
    <row r="4" spans="1:20" ht="15.75">
      <c r="A4" s="627" t="s">
        <v>45</v>
      </c>
      <c r="B4" s="628"/>
      <c r="C4" s="142">
        <v>5</v>
      </c>
      <c r="D4" s="142">
        <v>7</v>
      </c>
      <c r="E4" s="142">
        <v>8.5</v>
      </c>
      <c r="F4" s="142">
        <v>10</v>
      </c>
      <c r="G4" s="142">
        <v>11.5</v>
      </c>
      <c r="H4" s="142">
        <v>13</v>
      </c>
      <c r="I4" s="32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5.75">
      <c r="A5" s="628" t="s">
        <v>46</v>
      </c>
      <c r="B5" s="628"/>
      <c r="C5" s="142">
        <v>93.33</v>
      </c>
      <c r="D5" s="142">
        <v>93.33</v>
      </c>
      <c r="E5" s="142">
        <v>93.33</v>
      </c>
      <c r="F5" s="142">
        <v>93.33</v>
      </c>
      <c r="G5" s="142">
        <v>93.33</v>
      </c>
      <c r="H5" s="142">
        <v>93.33</v>
      </c>
      <c r="I5" s="32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5.75">
      <c r="A6" s="618" t="s">
        <v>47</v>
      </c>
      <c r="B6" s="150" t="s">
        <v>48</v>
      </c>
      <c r="C6" s="142">
        <v>0.4</v>
      </c>
      <c r="D6" s="142">
        <v>0.4</v>
      </c>
      <c r="E6" s="142">
        <v>0.4</v>
      </c>
      <c r="F6" s="142">
        <v>0.4</v>
      </c>
      <c r="G6" s="142">
        <v>0.4</v>
      </c>
      <c r="H6" s="142">
        <v>0.4</v>
      </c>
      <c r="I6" s="32"/>
      <c r="J6" s="622" t="s">
        <v>49</v>
      </c>
      <c r="K6" s="622"/>
      <c r="L6" s="622"/>
      <c r="M6" s="622"/>
      <c r="N6" s="622"/>
      <c r="O6" s="622"/>
      <c r="P6" s="622"/>
      <c r="Q6" s="622"/>
      <c r="R6" s="622"/>
      <c r="S6" s="151"/>
      <c r="T6" s="151"/>
    </row>
    <row r="7" spans="1:20" ht="15.75">
      <c r="A7" s="619"/>
      <c r="B7" s="150" t="s">
        <v>50</v>
      </c>
      <c r="C7" s="142">
        <v>0.867</v>
      </c>
      <c r="D7" s="142">
        <v>0.867</v>
      </c>
      <c r="E7" s="142">
        <v>0.867</v>
      </c>
      <c r="F7" s="142">
        <v>0.867</v>
      </c>
      <c r="G7" s="142">
        <v>0.867</v>
      </c>
      <c r="H7" s="142">
        <v>0.867</v>
      </c>
      <c r="I7" s="32"/>
      <c r="J7" s="623"/>
      <c r="K7" s="623"/>
      <c r="L7" s="623"/>
      <c r="M7" s="623"/>
      <c r="N7" s="623"/>
      <c r="O7" s="623"/>
      <c r="P7" s="623"/>
      <c r="Q7" s="623"/>
      <c r="R7" s="623"/>
      <c r="S7" s="21"/>
      <c r="T7" s="21"/>
    </row>
    <row r="8" spans="1:20" ht="15.75">
      <c r="A8" s="619"/>
      <c r="B8" s="150" t="s">
        <v>51</v>
      </c>
      <c r="C8" s="142">
        <v>0.867</v>
      </c>
      <c r="D8" s="142">
        <v>1.214</v>
      </c>
      <c r="E8" s="142">
        <v>1.474</v>
      </c>
      <c r="F8" s="142">
        <v>1.734</v>
      </c>
      <c r="G8" s="142">
        <v>1.994</v>
      </c>
      <c r="H8" s="142">
        <v>2.254</v>
      </c>
      <c r="I8" s="32"/>
      <c r="J8" s="624" t="s">
        <v>32</v>
      </c>
      <c r="K8" s="609" t="s">
        <v>52</v>
      </c>
      <c r="L8" s="609"/>
      <c r="M8" s="609"/>
      <c r="N8" s="609"/>
      <c r="O8" s="609" t="s">
        <v>53</v>
      </c>
      <c r="P8" s="609"/>
      <c r="Q8" s="609"/>
      <c r="R8" s="609"/>
      <c r="S8" s="153"/>
      <c r="T8" s="153"/>
    </row>
    <row r="9" spans="1:20" ht="15.75">
      <c r="A9" s="620"/>
      <c r="B9" s="150" t="s">
        <v>54</v>
      </c>
      <c r="C9" s="142">
        <v>0.714</v>
      </c>
      <c r="D9" s="142">
        <v>1</v>
      </c>
      <c r="E9" s="142">
        <v>1.214</v>
      </c>
      <c r="F9" s="142">
        <v>1.429</v>
      </c>
      <c r="G9" s="142">
        <v>1.643</v>
      </c>
      <c r="H9" s="142">
        <v>1.857</v>
      </c>
      <c r="I9" s="32"/>
      <c r="J9" s="625"/>
      <c r="K9" s="626" t="s">
        <v>55</v>
      </c>
      <c r="L9" s="609"/>
      <c r="M9" s="609" t="s">
        <v>56</v>
      </c>
      <c r="N9" s="609"/>
      <c r="O9" s="626" t="s">
        <v>55</v>
      </c>
      <c r="P9" s="609"/>
      <c r="Q9" s="609" t="s">
        <v>56</v>
      </c>
      <c r="R9" s="609"/>
      <c r="S9" s="153"/>
      <c r="T9" s="153"/>
    </row>
    <row r="10" spans="1:20" ht="15.75">
      <c r="A10" s="618" t="s">
        <v>57</v>
      </c>
      <c r="B10" s="150" t="s">
        <v>48</v>
      </c>
      <c r="C10" s="154">
        <v>0.329</v>
      </c>
      <c r="D10" s="142">
        <v>0.329</v>
      </c>
      <c r="E10" s="142">
        <v>0.329</v>
      </c>
      <c r="F10" s="142">
        <v>0.329</v>
      </c>
      <c r="G10" s="142">
        <v>0.329</v>
      </c>
      <c r="H10" s="142">
        <v>0.329</v>
      </c>
      <c r="I10" s="32"/>
      <c r="J10" s="152" t="s">
        <v>58</v>
      </c>
      <c r="K10" s="609">
        <v>0.6</v>
      </c>
      <c r="L10" s="609"/>
      <c r="M10" s="609">
        <v>58</v>
      </c>
      <c r="N10" s="609"/>
      <c r="O10" s="609">
        <v>0.96</v>
      </c>
      <c r="P10" s="609"/>
      <c r="Q10" s="609">
        <v>60</v>
      </c>
      <c r="R10" s="609"/>
      <c r="S10" s="153"/>
      <c r="T10" s="153"/>
    </row>
    <row r="11" spans="1:20" ht="15.75">
      <c r="A11" s="619"/>
      <c r="B11" s="150" t="s">
        <v>50</v>
      </c>
      <c r="C11" s="155">
        <v>0.89</v>
      </c>
      <c r="D11" s="142">
        <v>0.89</v>
      </c>
      <c r="E11" s="142">
        <v>0.89</v>
      </c>
      <c r="F11" s="142">
        <v>0.89</v>
      </c>
      <c r="G11" s="142">
        <v>0.89</v>
      </c>
      <c r="H11" s="142">
        <v>0.89</v>
      </c>
      <c r="I11" s="32"/>
      <c r="J11" s="152" t="s">
        <v>59</v>
      </c>
      <c r="K11" s="609">
        <v>0.8</v>
      </c>
      <c r="L11" s="609"/>
      <c r="M11" s="609">
        <v>44</v>
      </c>
      <c r="N11" s="609"/>
      <c r="O11" s="609">
        <v>1.28</v>
      </c>
      <c r="P11" s="609"/>
      <c r="Q11" s="609">
        <v>45</v>
      </c>
      <c r="R11" s="609"/>
      <c r="S11" s="153"/>
      <c r="T11" s="153"/>
    </row>
    <row r="12" spans="1:20" ht="15.75">
      <c r="A12" s="619"/>
      <c r="B12" s="150" t="s">
        <v>51</v>
      </c>
      <c r="C12" s="142">
        <v>0.732</v>
      </c>
      <c r="D12" s="142">
        <v>1.025</v>
      </c>
      <c r="E12" s="142">
        <v>1.244</v>
      </c>
      <c r="F12" s="142">
        <v>1.464</v>
      </c>
      <c r="G12" s="142">
        <v>1.684</v>
      </c>
      <c r="H12" s="142">
        <v>1.903</v>
      </c>
      <c r="I12" s="32"/>
      <c r="J12" s="152" t="s">
        <v>60</v>
      </c>
      <c r="K12" s="609">
        <v>0.9</v>
      </c>
      <c r="L12" s="609"/>
      <c r="M12" s="609">
        <v>39</v>
      </c>
      <c r="N12" s="609"/>
      <c r="O12" s="609">
        <v>1.44</v>
      </c>
      <c r="P12" s="609"/>
      <c r="Q12" s="609">
        <v>40</v>
      </c>
      <c r="R12" s="609"/>
      <c r="S12" s="153"/>
      <c r="T12" s="153"/>
    </row>
    <row r="13" spans="1:18" ht="15.75">
      <c r="A13" s="620"/>
      <c r="B13" s="150" t="s">
        <v>54</v>
      </c>
      <c r="C13" s="142">
        <v>0.433</v>
      </c>
      <c r="D13" s="142">
        <v>0.606</v>
      </c>
      <c r="E13" s="142">
        <v>0.736</v>
      </c>
      <c r="F13" s="142">
        <v>0.866</v>
      </c>
      <c r="G13" s="142">
        <v>0.997</v>
      </c>
      <c r="H13" s="142">
        <v>1.127</v>
      </c>
      <c r="I13" s="32"/>
      <c r="J13" s="152" t="s">
        <v>61</v>
      </c>
      <c r="K13" s="609">
        <v>1</v>
      </c>
      <c r="L13" s="609"/>
      <c r="M13" s="609">
        <v>35</v>
      </c>
      <c r="N13" s="609"/>
      <c r="O13" s="609">
        <v>1.6</v>
      </c>
      <c r="P13" s="609"/>
      <c r="Q13" s="609">
        <v>36</v>
      </c>
      <c r="R13" s="609"/>
    </row>
    <row r="14" spans="1:18" ht="15.75">
      <c r="A14" s="618" t="s">
        <v>62</v>
      </c>
      <c r="B14" s="150" t="s">
        <v>48</v>
      </c>
      <c r="C14" s="142">
        <v>0.289</v>
      </c>
      <c r="D14" s="142">
        <v>0.289</v>
      </c>
      <c r="E14" s="142">
        <v>0.289</v>
      </c>
      <c r="F14" s="142">
        <v>0.289</v>
      </c>
      <c r="G14" s="142">
        <v>0.289</v>
      </c>
      <c r="H14" s="142">
        <v>0.289</v>
      </c>
      <c r="I14" s="32"/>
      <c r="J14" s="152" t="s">
        <v>63</v>
      </c>
      <c r="K14" s="609">
        <v>1.1</v>
      </c>
      <c r="L14" s="609"/>
      <c r="M14" s="609">
        <v>32</v>
      </c>
      <c r="N14" s="609"/>
      <c r="O14" s="609">
        <v>1.76</v>
      </c>
      <c r="P14" s="609"/>
      <c r="Q14" s="609">
        <v>33</v>
      </c>
      <c r="R14" s="609"/>
    </row>
    <row r="15" spans="1:20" ht="15.75">
      <c r="A15" s="619"/>
      <c r="B15" s="150" t="s">
        <v>50</v>
      </c>
      <c r="C15" s="142">
        <v>0.904</v>
      </c>
      <c r="D15" s="142">
        <v>0.904</v>
      </c>
      <c r="E15" s="142">
        <v>0.904</v>
      </c>
      <c r="F15" s="142">
        <v>0.904</v>
      </c>
      <c r="G15" s="142">
        <v>0.904</v>
      </c>
      <c r="H15" s="142">
        <v>0.904</v>
      </c>
      <c r="I15" s="32"/>
      <c r="J15" s="152" t="s">
        <v>64</v>
      </c>
      <c r="K15" s="609">
        <v>1.2</v>
      </c>
      <c r="L15" s="609"/>
      <c r="M15" s="609">
        <v>29</v>
      </c>
      <c r="N15" s="609"/>
      <c r="O15" s="609">
        <v>1.92</v>
      </c>
      <c r="P15" s="609"/>
      <c r="Q15" s="609">
        <v>30</v>
      </c>
      <c r="R15" s="609"/>
      <c r="S15" s="621" t="s">
        <v>248</v>
      </c>
      <c r="T15" s="608">
        <v>2</v>
      </c>
    </row>
    <row r="16" spans="1:35" ht="15.75">
      <c r="A16" s="619"/>
      <c r="B16" s="150" t="s">
        <v>51</v>
      </c>
      <c r="C16" s="142">
        <v>0.653</v>
      </c>
      <c r="D16" s="142">
        <v>0.914</v>
      </c>
      <c r="E16" s="142">
        <v>1.11</v>
      </c>
      <c r="F16" s="142">
        <v>1.306</v>
      </c>
      <c r="G16" s="142">
        <v>1.502</v>
      </c>
      <c r="H16" s="142">
        <v>1.698</v>
      </c>
      <c r="I16" s="32"/>
      <c r="J16" s="152" t="s">
        <v>65</v>
      </c>
      <c r="K16" s="609">
        <v>1.3</v>
      </c>
      <c r="L16" s="609"/>
      <c r="M16" s="609">
        <v>27</v>
      </c>
      <c r="N16" s="609"/>
      <c r="O16" s="609">
        <v>2.08</v>
      </c>
      <c r="P16" s="609"/>
      <c r="Q16" s="609">
        <v>28</v>
      </c>
      <c r="R16" s="609"/>
      <c r="S16" s="621"/>
      <c r="T16" s="608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</row>
    <row r="17" spans="1:35" ht="15.75">
      <c r="A17" s="620"/>
      <c r="B17" s="150" t="s">
        <v>54</v>
      </c>
      <c r="C17" s="142">
        <v>0.314</v>
      </c>
      <c r="D17" s="142">
        <v>0.44</v>
      </c>
      <c r="E17" s="142">
        <v>0.534</v>
      </c>
      <c r="F17" s="142">
        <v>0.628</v>
      </c>
      <c r="G17" s="142">
        <v>0.722</v>
      </c>
      <c r="H17" s="142">
        <v>0.816</v>
      </c>
      <c r="I17" s="32"/>
      <c r="J17" s="152" t="s">
        <v>66</v>
      </c>
      <c r="K17" s="609">
        <v>1.4</v>
      </c>
      <c r="L17" s="609"/>
      <c r="M17" s="609">
        <v>25</v>
      </c>
      <c r="N17" s="609"/>
      <c r="O17" s="609">
        <v>2.24</v>
      </c>
      <c r="P17" s="609"/>
      <c r="Q17" s="609">
        <v>26</v>
      </c>
      <c r="R17" s="609"/>
      <c r="S17" s="621"/>
      <c r="T17" s="611">
        <v>1.4</v>
      </c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</row>
    <row r="18" spans="1:35" ht="15.75">
      <c r="A18" s="618" t="s">
        <v>67</v>
      </c>
      <c r="B18" s="150" t="s">
        <v>48</v>
      </c>
      <c r="C18" s="142">
        <v>0.253</v>
      </c>
      <c r="D18" s="142">
        <v>0.253</v>
      </c>
      <c r="E18" s="142">
        <v>0.253</v>
      </c>
      <c r="F18" s="142">
        <v>0.253</v>
      </c>
      <c r="G18" s="142">
        <v>0.253</v>
      </c>
      <c r="H18" s="142">
        <v>0.253</v>
      </c>
      <c r="I18" s="32"/>
      <c r="J18" s="10"/>
      <c r="K18" s="461"/>
      <c r="L18" s="461"/>
      <c r="M18" s="10"/>
      <c r="N18" s="10"/>
      <c r="O18" s="10"/>
      <c r="P18" s="10"/>
      <c r="Q18" s="10"/>
      <c r="R18" s="10"/>
      <c r="S18" s="621"/>
      <c r="T18" s="611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</row>
    <row r="19" spans="1:35" ht="15.75">
      <c r="A19" s="619"/>
      <c r="B19" s="150" t="s">
        <v>50</v>
      </c>
      <c r="C19" s="142">
        <v>0.916</v>
      </c>
      <c r="D19" s="142">
        <v>0.916</v>
      </c>
      <c r="E19" s="142">
        <v>0.916</v>
      </c>
      <c r="F19" s="142">
        <v>0.914</v>
      </c>
      <c r="G19" s="142">
        <v>0.916</v>
      </c>
      <c r="H19" s="142">
        <v>0.916</v>
      </c>
      <c r="I19" s="32"/>
      <c r="J19" s="10"/>
      <c r="K19" s="10"/>
      <c r="L19" s="10"/>
      <c r="M19" s="10"/>
      <c r="N19" s="10"/>
      <c r="O19" s="10"/>
      <c r="P19" s="10"/>
      <c r="Q19" s="10"/>
      <c r="R19" s="10"/>
      <c r="S19" s="621"/>
      <c r="T19" s="611">
        <v>1.2</v>
      </c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</row>
    <row r="20" spans="1:35" ht="15.75">
      <c r="A20" s="619"/>
      <c r="B20" s="150" t="s">
        <v>51</v>
      </c>
      <c r="C20" s="142">
        <v>0.579</v>
      </c>
      <c r="D20" s="142">
        <v>0.811</v>
      </c>
      <c r="E20" s="142">
        <v>0.985</v>
      </c>
      <c r="F20" s="142">
        <v>1.159</v>
      </c>
      <c r="G20" s="142">
        <v>1.332</v>
      </c>
      <c r="H20" s="142">
        <v>1.506</v>
      </c>
      <c r="I20" s="32"/>
      <c r="J20" s="10"/>
      <c r="K20" s="10"/>
      <c r="L20" s="10"/>
      <c r="M20" s="10"/>
      <c r="N20" s="10"/>
      <c r="O20" s="10"/>
      <c r="P20" s="10"/>
      <c r="Q20" s="10"/>
      <c r="R20" s="10"/>
      <c r="S20" s="621"/>
      <c r="T20" s="611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</row>
    <row r="21" spans="1:35" ht="15.75">
      <c r="A21" s="620"/>
      <c r="B21" s="150" t="s">
        <v>54</v>
      </c>
      <c r="C21" s="142">
        <v>0.23</v>
      </c>
      <c r="D21" s="142">
        <v>0.322</v>
      </c>
      <c r="E21" s="142">
        <v>0.391</v>
      </c>
      <c r="F21" s="142">
        <v>0.46</v>
      </c>
      <c r="G21" s="142">
        <v>0.53</v>
      </c>
      <c r="H21" s="142">
        <v>0.599</v>
      </c>
      <c r="I21" s="32"/>
      <c r="J21" s="10"/>
      <c r="K21" s="10"/>
      <c r="L21" s="10"/>
      <c r="M21" s="10"/>
      <c r="N21" s="10"/>
      <c r="O21" s="10"/>
      <c r="P21" s="10"/>
      <c r="Q21" s="10"/>
      <c r="R21" s="10"/>
      <c r="S21" s="621"/>
      <c r="T21" s="611">
        <v>0.8</v>
      </c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</row>
    <row r="22" spans="9:35" ht="12.75">
      <c r="I22" s="31"/>
      <c r="J22" s="10"/>
      <c r="K22" s="10"/>
      <c r="L22" s="10"/>
      <c r="M22" s="10"/>
      <c r="N22" s="10"/>
      <c r="O22" s="10"/>
      <c r="P22" s="10"/>
      <c r="Q22" s="10"/>
      <c r="R22" s="10"/>
      <c r="S22" s="621"/>
      <c r="T22" s="611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</row>
    <row r="23" spans="1:35" ht="16.5">
      <c r="A23" s="610" t="s">
        <v>68</v>
      </c>
      <c r="B23" s="610"/>
      <c r="C23" s="610"/>
      <c r="D23" s="610"/>
      <c r="E23" s="610"/>
      <c r="F23" s="610"/>
      <c r="G23" s="610"/>
      <c r="H23" s="610"/>
      <c r="I23" s="35"/>
      <c r="J23" s="10"/>
      <c r="K23" s="10"/>
      <c r="L23" s="10"/>
      <c r="M23" s="10"/>
      <c r="N23" s="10"/>
      <c r="O23" s="10"/>
      <c r="P23" s="10"/>
      <c r="Q23" s="10"/>
      <c r="R23" s="10"/>
      <c r="S23" s="621"/>
      <c r="T23" s="611">
        <v>0.4</v>
      </c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</row>
    <row r="24" spans="1:35" ht="15.75">
      <c r="A24" s="612" t="s">
        <v>69</v>
      </c>
      <c r="B24" s="613"/>
      <c r="C24" s="614" t="s">
        <v>70</v>
      </c>
      <c r="D24" s="614"/>
      <c r="E24" s="614"/>
      <c r="F24" s="614"/>
      <c r="G24" s="614"/>
      <c r="H24" s="614"/>
      <c r="I24" s="32"/>
      <c r="J24" s="615" t="s">
        <v>81</v>
      </c>
      <c r="K24" s="616"/>
      <c r="L24" s="616"/>
      <c r="M24" s="616"/>
      <c r="N24" s="616"/>
      <c r="O24" s="616"/>
      <c r="P24" s="616"/>
      <c r="Q24" s="616"/>
      <c r="R24" s="617"/>
      <c r="S24" s="621"/>
      <c r="T24" s="611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</row>
    <row r="25" spans="1:35" ht="14.25">
      <c r="A25" s="591" t="s">
        <v>29</v>
      </c>
      <c r="B25" s="592"/>
      <c r="C25" s="158" t="s">
        <v>33</v>
      </c>
      <c r="D25" s="157" t="s">
        <v>34</v>
      </c>
      <c r="E25" s="157" t="s">
        <v>35</v>
      </c>
      <c r="F25" s="157" t="s">
        <v>36</v>
      </c>
      <c r="G25" s="157" t="s">
        <v>37</v>
      </c>
      <c r="H25" s="157" t="s">
        <v>38</v>
      </c>
      <c r="I25" s="32"/>
      <c r="J25" s="593" t="s">
        <v>32</v>
      </c>
      <c r="K25" s="596" t="s">
        <v>82</v>
      </c>
      <c r="L25" s="597"/>
      <c r="M25" s="597"/>
      <c r="N25" s="597"/>
      <c r="O25" s="598" t="s">
        <v>83</v>
      </c>
      <c r="P25" s="599"/>
      <c r="Q25" s="599"/>
      <c r="R25" s="600"/>
      <c r="S25" s="621"/>
      <c r="T25" s="160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</row>
    <row r="26" spans="1:35" ht="15.75">
      <c r="A26" s="604" t="s">
        <v>71</v>
      </c>
      <c r="B26" s="604"/>
      <c r="C26" s="157">
        <v>0.18</v>
      </c>
      <c r="D26" s="157">
        <v>0.18</v>
      </c>
      <c r="E26" s="157">
        <v>0.19</v>
      </c>
      <c r="F26" s="157">
        <v>0.2</v>
      </c>
      <c r="G26" s="157">
        <v>0.2</v>
      </c>
      <c r="H26" s="157">
        <v>0.2</v>
      </c>
      <c r="I26" s="32"/>
      <c r="J26" s="594"/>
      <c r="K26" s="605" t="s">
        <v>84</v>
      </c>
      <c r="L26" s="606"/>
      <c r="M26" s="607" t="s">
        <v>85</v>
      </c>
      <c r="N26" s="596"/>
      <c r="O26" s="601"/>
      <c r="P26" s="602"/>
      <c r="Q26" s="602"/>
      <c r="R26" s="603"/>
      <c r="S26" s="621"/>
      <c r="T26" s="160">
        <v>0</v>
      </c>
      <c r="U26" s="161"/>
      <c r="V26" s="517">
        <v>0.4</v>
      </c>
      <c r="W26" s="517"/>
      <c r="X26" s="517">
        <v>0.8</v>
      </c>
      <c r="Y26" s="517"/>
      <c r="Z26" s="517">
        <v>1.2</v>
      </c>
      <c r="AA26" s="517"/>
      <c r="AB26" s="517">
        <v>1.6</v>
      </c>
      <c r="AC26" s="517"/>
      <c r="AD26" s="517">
        <v>2</v>
      </c>
      <c r="AE26" s="517"/>
      <c r="AF26" s="517">
        <v>2.4</v>
      </c>
      <c r="AG26" s="517"/>
      <c r="AH26" s="517">
        <v>2.8</v>
      </c>
      <c r="AI26" s="517"/>
    </row>
    <row r="27" spans="1:22" ht="14.25">
      <c r="A27" s="570">
        <v>0.25</v>
      </c>
      <c r="B27" s="570"/>
      <c r="C27" s="162">
        <v>0.22</v>
      </c>
      <c r="D27" s="162">
        <v>0.22</v>
      </c>
      <c r="E27" s="162">
        <v>0.23</v>
      </c>
      <c r="F27" s="162">
        <v>0.23</v>
      </c>
      <c r="G27" s="162">
        <v>0.23</v>
      </c>
      <c r="H27" s="162">
        <v>0.23</v>
      </c>
      <c r="I27" s="33"/>
      <c r="J27" s="595"/>
      <c r="K27" s="163" t="s">
        <v>86</v>
      </c>
      <c r="L27" s="159" t="s">
        <v>87</v>
      </c>
      <c r="M27" s="163" t="s">
        <v>86</v>
      </c>
      <c r="N27" s="159" t="s">
        <v>87</v>
      </c>
      <c r="O27" s="589" t="s">
        <v>86</v>
      </c>
      <c r="P27" s="590"/>
      <c r="Q27" s="589" t="s">
        <v>88</v>
      </c>
      <c r="R27" s="590"/>
      <c r="S27" s="10"/>
      <c r="T27" s="10"/>
      <c r="V27" t="s">
        <v>249</v>
      </c>
    </row>
    <row r="28" spans="1:20" ht="12.75">
      <c r="A28" s="570">
        <v>0.5</v>
      </c>
      <c r="B28" s="570"/>
      <c r="C28" s="162">
        <v>0.29</v>
      </c>
      <c r="D28" s="162">
        <v>0.3</v>
      </c>
      <c r="E28" s="162">
        <v>0.31</v>
      </c>
      <c r="F28" s="162">
        <v>0.31</v>
      </c>
      <c r="G28" s="162">
        <v>0.31</v>
      </c>
      <c r="H28" s="162">
        <v>0.32</v>
      </c>
      <c r="I28" s="33"/>
      <c r="J28" s="159" t="s">
        <v>89</v>
      </c>
      <c r="K28" s="164">
        <v>3</v>
      </c>
      <c r="L28" s="165">
        <f>K28*100</f>
        <v>300</v>
      </c>
      <c r="M28" s="166">
        <v>2.5</v>
      </c>
      <c r="N28" s="165">
        <f>M28*100</f>
        <v>250</v>
      </c>
      <c r="O28" s="587" t="s">
        <v>44</v>
      </c>
      <c r="P28" s="588"/>
      <c r="Q28" s="587" t="s">
        <v>44</v>
      </c>
      <c r="R28" s="588"/>
      <c r="S28" s="10"/>
      <c r="T28" s="10"/>
    </row>
    <row r="29" spans="1:20" ht="12.75">
      <c r="A29" s="570">
        <v>0.75</v>
      </c>
      <c r="B29" s="570"/>
      <c r="C29" s="162">
        <v>0.34</v>
      </c>
      <c r="D29" s="162">
        <v>0.35</v>
      </c>
      <c r="E29" s="162">
        <v>0.36</v>
      </c>
      <c r="F29" s="162">
        <v>0.37</v>
      </c>
      <c r="G29" s="162">
        <v>0.37</v>
      </c>
      <c r="H29" s="162">
        <v>0.38</v>
      </c>
      <c r="I29" s="33"/>
      <c r="J29" s="159" t="s">
        <v>90</v>
      </c>
      <c r="K29" s="164">
        <v>5</v>
      </c>
      <c r="L29" s="165">
        <f aca="true" t="shared" si="0" ref="L29:L36">K29*100</f>
        <v>500</v>
      </c>
      <c r="M29" s="166">
        <v>4</v>
      </c>
      <c r="N29" s="165">
        <f aca="true" t="shared" si="1" ref="N29:N36">M29*100</f>
        <v>400</v>
      </c>
      <c r="O29" s="585">
        <v>0.6</v>
      </c>
      <c r="P29" s="586"/>
      <c r="Q29" s="581">
        <f>O29*100</f>
        <v>60</v>
      </c>
      <c r="R29" s="582"/>
      <c r="S29" s="10"/>
      <c r="T29" s="10"/>
    </row>
    <row r="30" spans="1:20" ht="12.75">
      <c r="A30" s="570">
        <v>1</v>
      </c>
      <c r="B30" s="570"/>
      <c r="C30" s="162">
        <v>0.37</v>
      </c>
      <c r="D30" s="162">
        <v>0.39</v>
      </c>
      <c r="E30" s="162">
        <v>0.4</v>
      </c>
      <c r="F30" s="162">
        <v>0.41</v>
      </c>
      <c r="G30" s="162">
        <v>0.42</v>
      </c>
      <c r="H30" s="162">
        <v>0.42</v>
      </c>
      <c r="I30" s="33"/>
      <c r="J30" s="159" t="s">
        <v>91</v>
      </c>
      <c r="K30" s="164">
        <v>7</v>
      </c>
      <c r="L30" s="165">
        <f t="shared" si="0"/>
        <v>700</v>
      </c>
      <c r="M30" s="166">
        <v>5</v>
      </c>
      <c r="N30" s="165">
        <f t="shared" si="1"/>
        <v>500</v>
      </c>
      <c r="O30" s="585">
        <v>0.8</v>
      </c>
      <c r="P30" s="586"/>
      <c r="Q30" s="581">
        <f aca="true" t="shared" si="2" ref="Q30:Q36">O30*100</f>
        <v>80</v>
      </c>
      <c r="R30" s="582"/>
      <c r="S30" s="10"/>
      <c r="T30" s="10"/>
    </row>
    <row r="31" spans="1:20" ht="12.75">
      <c r="A31" s="570">
        <v>1.25</v>
      </c>
      <c r="B31" s="570"/>
      <c r="C31" s="162">
        <v>0.4</v>
      </c>
      <c r="D31" s="162">
        <v>0.42</v>
      </c>
      <c r="E31" s="162">
        <v>0.44</v>
      </c>
      <c r="F31" s="162">
        <v>0.45</v>
      </c>
      <c r="G31" s="162">
        <v>0.45</v>
      </c>
      <c r="H31" s="162">
        <v>0.46</v>
      </c>
      <c r="I31" s="33"/>
      <c r="J31" s="159" t="s">
        <v>92</v>
      </c>
      <c r="K31" s="164">
        <v>8.5</v>
      </c>
      <c r="L31" s="165">
        <f t="shared" si="0"/>
        <v>850</v>
      </c>
      <c r="M31" s="166">
        <v>6</v>
      </c>
      <c r="N31" s="165">
        <f t="shared" si="1"/>
        <v>600</v>
      </c>
      <c r="O31" s="585">
        <v>0.9</v>
      </c>
      <c r="P31" s="586"/>
      <c r="Q31" s="581">
        <f t="shared" si="2"/>
        <v>90</v>
      </c>
      <c r="R31" s="582"/>
      <c r="S31" s="4"/>
      <c r="T31" s="4"/>
    </row>
    <row r="32" spans="1:20" ht="12.75">
      <c r="A32" s="570">
        <v>1.5</v>
      </c>
      <c r="B32" s="570"/>
      <c r="C32" s="162">
        <v>0.42</v>
      </c>
      <c r="D32" s="162">
        <v>0.45</v>
      </c>
      <c r="E32" s="162">
        <v>0.46</v>
      </c>
      <c r="F32" s="162">
        <v>0.48</v>
      </c>
      <c r="G32" s="162">
        <v>0.49</v>
      </c>
      <c r="H32" s="162">
        <v>0.49</v>
      </c>
      <c r="I32" s="33"/>
      <c r="J32" s="159" t="s">
        <v>93</v>
      </c>
      <c r="K32" s="164">
        <v>10</v>
      </c>
      <c r="L32" s="165">
        <f t="shared" si="0"/>
        <v>1000</v>
      </c>
      <c r="M32" s="166">
        <v>8</v>
      </c>
      <c r="N32" s="165">
        <f t="shared" si="1"/>
        <v>800</v>
      </c>
      <c r="O32" s="585">
        <v>1</v>
      </c>
      <c r="P32" s="586"/>
      <c r="Q32" s="581">
        <f t="shared" si="2"/>
        <v>100</v>
      </c>
      <c r="R32" s="582"/>
      <c r="S32" s="4"/>
      <c r="T32" s="4"/>
    </row>
    <row r="33" spans="1:20" ht="12.75">
      <c r="A33" s="570">
        <v>1.75</v>
      </c>
      <c r="B33" s="570"/>
      <c r="C33" s="162">
        <v>0.44</v>
      </c>
      <c r="D33" s="162">
        <v>0.47</v>
      </c>
      <c r="E33" s="162">
        <v>0.49</v>
      </c>
      <c r="F33" s="162">
        <v>0.5</v>
      </c>
      <c r="G33" s="162">
        <v>0.52</v>
      </c>
      <c r="H33" s="162">
        <v>0.52</v>
      </c>
      <c r="I33" s="33"/>
      <c r="J33" s="159" t="s">
        <v>94</v>
      </c>
      <c r="K33" s="164">
        <v>11.5</v>
      </c>
      <c r="L33" s="165">
        <f t="shared" si="0"/>
        <v>1150</v>
      </c>
      <c r="M33" s="166">
        <v>9</v>
      </c>
      <c r="N33" s="165">
        <f t="shared" si="1"/>
        <v>900</v>
      </c>
      <c r="O33" s="585">
        <v>1.1</v>
      </c>
      <c r="P33" s="586"/>
      <c r="Q33" s="581">
        <f t="shared" si="2"/>
        <v>110.00000000000001</v>
      </c>
      <c r="R33" s="582"/>
      <c r="S33" s="4"/>
      <c r="T33" s="4"/>
    </row>
    <row r="34" spans="1:20" ht="12.75">
      <c r="A34" s="570">
        <v>2</v>
      </c>
      <c r="B34" s="570"/>
      <c r="C34" s="162">
        <v>0.44</v>
      </c>
      <c r="D34" s="162">
        <v>0.49</v>
      </c>
      <c r="E34" s="162">
        <v>0.51</v>
      </c>
      <c r="F34" s="162">
        <v>0.53</v>
      </c>
      <c r="G34" s="162">
        <v>0.54</v>
      </c>
      <c r="H34" s="162">
        <v>0.55</v>
      </c>
      <c r="I34" s="33"/>
      <c r="J34" s="159" t="s">
        <v>95</v>
      </c>
      <c r="K34" s="164">
        <v>13</v>
      </c>
      <c r="L34" s="165">
        <f t="shared" si="0"/>
        <v>1300</v>
      </c>
      <c r="M34" s="166">
        <v>10</v>
      </c>
      <c r="N34" s="165">
        <f t="shared" si="1"/>
        <v>1000</v>
      </c>
      <c r="O34" s="585">
        <v>1.2</v>
      </c>
      <c r="P34" s="586"/>
      <c r="Q34" s="581">
        <f t="shared" si="2"/>
        <v>120</v>
      </c>
      <c r="R34" s="582"/>
      <c r="S34" s="4"/>
      <c r="T34" s="4"/>
    </row>
    <row r="35" spans="1:20" ht="12.75">
      <c r="A35" s="570">
        <v>2.25</v>
      </c>
      <c r="B35" s="570"/>
      <c r="C35" s="162">
        <v>0.44</v>
      </c>
      <c r="D35" s="162">
        <v>0.51</v>
      </c>
      <c r="E35" s="162">
        <v>0.53</v>
      </c>
      <c r="F35" s="162">
        <v>0.55</v>
      </c>
      <c r="G35" s="162">
        <v>0.56</v>
      </c>
      <c r="H35" s="167">
        <v>0.57</v>
      </c>
      <c r="I35" s="36"/>
      <c r="J35" s="159" t="s">
        <v>96</v>
      </c>
      <c r="K35" s="164">
        <v>14.5</v>
      </c>
      <c r="L35" s="165">
        <f t="shared" si="0"/>
        <v>1450</v>
      </c>
      <c r="M35" s="166">
        <v>11</v>
      </c>
      <c r="N35" s="165">
        <f t="shared" si="1"/>
        <v>1100</v>
      </c>
      <c r="O35" s="585">
        <v>1.3</v>
      </c>
      <c r="P35" s="586"/>
      <c r="Q35" s="581">
        <f t="shared" si="2"/>
        <v>130</v>
      </c>
      <c r="R35" s="582"/>
      <c r="S35" s="4"/>
      <c r="T35" s="4"/>
    </row>
    <row r="36" spans="1:20" ht="12.75">
      <c r="A36" s="570">
        <v>2.5</v>
      </c>
      <c r="B36" s="570"/>
      <c r="C36" s="162">
        <v>0.44</v>
      </c>
      <c r="D36" s="162">
        <v>0.51</v>
      </c>
      <c r="E36" s="162">
        <v>0.55</v>
      </c>
      <c r="F36" s="162">
        <v>0.57</v>
      </c>
      <c r="G36" s="162">
        <v>0.58</v>
      </c>
      <c r="H36" s="162">
        <v>0.6</v>
      </c>
      <c r="I36" s="33"/>
      <c r="J36" s="159" t="s">
        <v>97</v>
      </c>
      <c r="K36" s="168">
        <v>16</v>
      </c>
      <c r="L36" s="165">
        <f t="shared" si="0"/>
        <v>1600</v>
      </c>
      <c r="M36" s="169">
        <v>12</v>
      </c>
      <c r="N36" s="165">
        <f t="shared" si="1"/>
        <v>1200</v>
      </c>
      <c r="O36" s="571">
        <v>1.4</v>
      </c>
      <c r="P36" s="572"/>
      <c r="Q36" s="581">
        <f t="shared" si="2"/>
        <v>140</v>
      </c>
      <c r="R36" s="582"/>
      <c r="S36" s="4"/>
      <c r="T36" s="4"/>
    </row>
    <row r="37" spans="1:20" ht="12.75">
      <c r="A37" s="570">
        <v>2.75</v>
      </c>
      <c r="B37" s="570"/>
      <c r="C37" s="162">
        <v>0.44</v>
      </c>
      <c r="D37" s="162">
        <v>0.51</v>
      </c>
      <c r="E37" s="162">
        <v>0.56</v>
      </c>
      <c r="F37" s="162">
        <v>0.58</v>
      </c>
      <c r="G37" s="162">
        <v>0.6</v>
      </c>
      <c r="H37" s="162">
        <v>0.62</v>
      </c>
      <c r="I37" s="3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>
      <c r="A38" s="583" t="s">
        <v>72</v>
      </c>
      <c r="B38" s="583"/>
      <c r="C38" s="157">
        <v>0.44</v>
      </c>
      <c r="D38" s="157">
        <v>0.51</v>
      </c>
      <c r="E38" s="157">
        <v>0.57</v>
      </c>
      <c r="F38" s="157">
        <v>0.6</v>
      </c>
      <c r="G38" s="140">
        <v>0.62</v>
      </c>
      <c r="H38" s="157">
        <v>0.63</v>
      </c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2:20" ht="12.75">
      <c r="B39" s="10"/>
      <c r="C39" s="10"/>
      <c r="D39" s="10"/>
      <c r="E39" s="10"/>
      <c r="F39" s="10"/>
      <c r="G39" s="24"/>
      <c r="H39" s="24"/>
      <c r="I39" s="32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8.75">
      <c r="A40" s="584" t="s">
        <v>73</v>
      </c>
      <c r="B40" s="584"/>
      <c r="C40" s="584"/>
      <c r="D40" s="584"/>
      <c r="E40" s="584"/>
      <c r="F40" s="584"/>
      <c r="G40" s="584"/>
      <c r="H40" s="584"/>
      <c r="I40" s="3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">
      <c r="A41" s="170"/>
      <c r="B41" s="170"/>
      <c r="C41" s="170"/>
      <c r="D41" s="170"/>
      <c r="E41" s="170"/>
      <c r="F41" s="170"/>
      <c r="G41" s="170"/>
      <c r="H41" s="170"/>
      <c r="I41" s="3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.75">
      <c r="A42" s="573" t="s">
        <v>32</v>
      </c>
      <c r="B42" s="574"/>
      <c r="C42" s="171" t="s">
        <v>33</v>
      </c>
      <c r="D42" s="172" t="s">
        <v>34</v>
      </c>
      <c r="E42" s="172" t="s">
        <v>35</v>
      </c>
      <c r="F42" s="172" t="s">
        <v>36</v>
      </c>
      <c r="G42" s="172" t="s">
        <v>37</v>
      </c>
      <c r="H42" s="172" t="s">
        <v>38</v>
      </c>
      <c r="I42" s="3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.75">
      <c r="A43" s="575" t="s">
        <v>74</v>
      </c>
      <c r="B43" s="576"/>
      <c r="C43" s="172">
        <v>1.6</v>
      </c>
      <c r="D43" s="172">
        <v>1.8</v>
      </c>
      <c r="E43" s="172">
        <v>1.9</v>
      </c>
      <c r="F43" s="172">
        <v>2.2</v>
      </c>
      <c r="G43" s="172">
        <v>2.3</v>
      </c>
      <c r="H43" s="172">
        <v>2.5</v>
      </c>
      <c r="I43" s="32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ht="12.75">
      <c r="I44" s="31"/>
    </row>
    <row r="45" ht="12.75">
      <c r="I45" s="31"/>
    </row>
    <row r="46" spans="2:9" ht="12.75">
      <c r="B46" t="s">
        <v>312</v>
      </c>
      <c r="I46" s="31"/>
    </row>
    <row r="47" spans="1:9" ht="15.75">
      <c r="A47" s="577" t="s">
        <v>250</v>
      </c>
      <c r="B47" s="578"/>
      <c r="C47" s="579" t="s">
        <v>251</v>
      </c>
      <c r="D47" s="580"/>
      <c r="I47" s="31"/>
    </row>
    <row r="48" spans="1:9" ht="14.25">
      <c r="A48" s="173" t="s">
        <v>252</v>
      </c>
      <c r="B48" s="568" t="s">
        <v>34</v>
      </c>
      <c r="C48" s="568" t="s">
        <v>34</v>
      </c>
      <c r="D48" s="174" t="s">
        <v>252</v>
      </c>
      <c r="I48" s="31"/>
    </row>
    <row r="49" spans="1:9" ht="12.75">
      <c r="A49" s="175" t="s">
        <v>29</v>
      </c>
      <c r="B49" s="569"/>
      <c r="C49" s="569"/>
      <c r="D49" s="176" t="s">
        <v>29</v>
      </c>
      <c r="I49" s="31"/>
    </row>
    <row r="50" spans="1:9" ht="12.75">
      <c r="A50" s="177">
        <v>0.15</v>
      </c>
      <c r="B50" s="178">
        <v>0.18</v>
      </c>
      <c r="C50" s="178">
        <v>0.18</v>
      </c>
      <c r="D50" s="179">
        <v>0.15</v>
      </c>
      <c r="I50" s="31"/>
    </row>
    <row r="51" spans="1:9" ht="12.75">
      <c r="A51" s="180">
        <v>0.16</v>
      </c>
      <c r="B51" s="142">
        <v>0.18</v>
      </c>
      <c r="C51" s="142">
        <v>0.19</v>
      </c>
      <c r="D51" s="181">
        <v>0.18</v>
      </c>
      <c r="I51" s="31"/>
    </row>
    <row r="52" spans="1:9" ht="12.75">
      <c r="A52" s="180">
        <v>0.17</v>
      </c>
      <c r="B52" s="142">
        <v>0.18</v>
      </c>
      <c r="C52" s="142">
        <v>0.2</v>
      </c>
      <c r="D52" s="181">
        <v>0.21</v>
      </c>
      <c r="I52" s="31"/>
    </row>
    <row r="53" spans="1:9" ht="12.75">
      <c r="A53" s="180">
        <v>0.18</v>
      </c>
      <c r="B53" s="142">
        <v>0.19</v>
      </c>
      <c r="C53" s="142">
        <v>0.21</v>
      </c>
      <c r="D53" s="181">
        <v>0.24</v>
      </c>
      <c r="I53" s="31"/>
    </row>
    <row r="54" spans="1:9" ht="12.75">
      <c r="A54" s="180">
        <v>0.19</v>
      </c>
      <c r="B54" s="142">
        <v>0.19</v>
      </c>
      <c r="C54" s="182">
        <v>0.22</v>
      </c>
      <c r="D54" s="182">
        <v>0.27</v>
      </c>
      <c r="I54" s="31"/>
    </row>
    <row r="55" spans="1:9" ht="12.75">
      <c r="A55" s="180">
        <v>0.2</v>
      </c>
      <c r="B55" s="142">
        <v>0.19</v>
      </c>
      <c r="C55" s="182">
        <v>0.23</v>
      </c>
      <c r="D55" s="181">
        <v>0.3</v>
      </c>
      <c r="I55" s="31"/>
    </row>
    <row r="56" spans="1:9" ht="12.75">
      <c r="A56" s="180">
        <v>0.21</v>
      </c>
      <c r="B56" s="142">
        <v>0.2</v>
      </c>
      <c r="C56" s="182">
        <v>0.24</v>
      </c>
      <c r="D56" s="181">
        <v>0.32</v>
      </c>
      <c r="I56" s="31"/>
    </row>
    <row r="57" spans="1:9" ht="12.75">
      <c r="A57" s="180">
        <v>0.22</v>
      </c>
      <c r="B57" s="142">
        <v>0.2</v>
      </c>
      <c r="C57" s="182">
        <v>0.25</v>
      </c>
      <c r="D57" s="182">
        <v>0.35</v>
      </c>
      <c r="I57" s="31"/>
    </row>
    <row r="58" spans="1:9" ht="12.75">
      <c r="A58" s="180">
        <v>0.23</v>
      </c>
      <c r="B58" s="142">
        <v>0.2</v>
      </c>
      <c r="C58" s="182">
        <v>0.26</v>
      </c>
      <c r="D58" s="181">
        <v>0.38</v>
      </c>
      <c r="I58" s="31"/>
    </row>
    <row r="59" spans="1:9" ht="12.75">
      <c r="A59" s="180">
        <v>0.24</v>
      </c>
      <c r="B59" s="142">
        <v>0.21</v>
      </c>
      <c r="C59" s="182">
        <v>0.27</v>
      </c>
      <c r="D59" s="182">
        <v>0.41</v>
      </c>
      <c r="I59" s="31"/>
    </row>
    <row r="60" spans="1:9" ht="12.75">
      <c r="A60" s="183">
        <v>0.25</v>
      </c>
      <c r="B60" s="182">
        <v>0.21</v>
      </c>
      <c r="C60" s="182">
        <v>0.28</v>
      </c>
      <c r="D60" s="181">
        <v>0.44</v>
      </c>
      <c r="I60" s="31"/>
    </row>
    <row r="61" spans="1:9" ht="12.75">
      <c r="A61" s="180">
        <v>0.26</v>
      </c>
      <c r="B61" s="182">
        <v>0.21</v>
      </c>
      <c r="C61" s="182">
        <v>0.29</v>
      </c>
      <c r="D61" s="182">
        <v>0.47</v>
      </c>
      <c r="I61" s="31"/>
    </row>
    <row r="62" spans="1:9" ht="12.75">
      <c r="A62" s="183">
        <v>0.27</v>
      </c>
      <c r="B62" s="182">
        <v>0.22</v>
      </c>
      <c r="C62" s="182">
        <v>0.3</v>
      </c>
      <c r="D62" s="181">
        <v>0.5</v>
      </c>
      <c r="I62" s="31"/>
    </row>
    <row r="63" spans="1:9" ht="12.75">
      <c r="A63" s="180">
        <v>0.28</v>
      </c>
      <c r="B63" s="182">
        <v>0.22</v>
      </c>
      <c r="C63" s="182">
        <v>0.31</v>
      </c>
      <c r="D63" s="182">
        <v>0.549999999999999</v>
      </c>
      <c r="I63" s="31"/>
    </row>
    <row r="64" spans="1:9" ht="12.75">
      <c r="A64" s="183">
        <v>0.29</v>
      </c>
      <c r="B64" s="182">
        <v>0.22</v>
      </c>
      <c r="C64" s="182">
        <v>0.32</v>
      </c>
      <c r="D64" s="181">
        <v>0.599999999999999</v>
      </c>
      <c r="I64" s="31"/>
    </row>
    <row r="65" spans="1:9" ht="12.75">
      <c r="A65" s="180">
        <v>0.3</v>
      </c>
      <c r="B65" s="182">
        <v>0.23</v>
      </c>
      <c r="C65" s="154">
        <v>0.33</v>
      </c>
      <c r="D65" s="182">
        <v>0.649999999999999</v>
      </c>
      <c r="I65" s="31"/>
    </row>
    <row r="66" spans="1:9" ht="12.75">
      <c r="A66" s="183">
        <v>0.31</v>
      </c>
      <c r="B66" s="182">
        <v>0.23</v>
      </c>
      <c r="C66" s="154">
        <v>0.34</v>
      </c>
      <c r="D66" s="181">
        <v>0.699999999999999</v>
      </c>
      <c r="I66" s="31"/>
    </row>
    <row r="67" spans="1:9" ht="12.75">
      <c r="A67" s="180">
        <v>0.32</v>
      </c>
      <c r="B67" s="182">
        <v>0.24</v>
      </c>
      <c r="C67" s="182">
        <v>0.35</v>
      </c>
      <c r="D67" s="182">
        <v>0.75</v>
      </c>
      <c r="I67" s="31"/>
    </row>
    <row r="68" spans="1:9" ht="12.75">
      <c r="A68" s="183">
        <v>0.33</v>
      </c>
      <c r="B68" s="182">
        <v>0.24</v>
      </c>
      <c r="C68" s="182">
        <v>0.36</v>
      </c>
      <c r="D68" s="181">
        <v>0.820000000000007</v>
      </c>
      <c r="I68" s="31"/>
    </row>
    <row r="69" spans="1:9" ht="12.75">
      <c r="A69" s="180">
        <v>0.34</v>
      </c>
      <c r="B69" s="182">
        <v>0.24</v>
      </c>
      <c r="C69" s="182">
        <v>0.37</v>
      </c>
      <c r="D69" s="181">
        <v>0.880000000000013</v>
      </c>
      <c r="I69" s="31"/>
    </row>
    <row r="70" spans="1:9" ht="12.75">
      <c r="A70" s="183">
        <v>0.35</v>
      </c>
      <c r="B70" s="182">
        <v>0.25</v>
      </c>
      <c r="C70" s="182">
        <v>0.38</v>
      </c>
      <c r="D70" s="181">
        <v>0.940000000000019</v>
      </c>
      <c r="I70" s="31"/>
    </row>
    <row r="71" spans="1:9" ht="12.75">
      <c r="A71" s="180">
        <v>0.36</v>
      </c>
      <c r="B71" s="182">
        <v>0.25</v>
      </c>
      <c r="C71" s="182">
        <v>0.39</v>
      </c>
      <c r="D71" s="182">
        <v>1.00000000000002</v>
      </c>
      <c r="I71" s="31"/>
    </row>
    <row r="72" spans="1:9" ht="12.75">
      <c r="A72" s="183">
        <v>0.37</v>
      </c>
      <c r="B72" s="182">
        <v>0.25</v>
      </c>
      <c r="C72" s="154">
        <v>0.4</v>
      </c>
      <c r="D72" s="182">
        <v>1.0800000000001</v>
      </c>
      <c r="I72" s="31"/>
    </row>
    <row r="73" spans="1:9" ht="12.75">
      <c r="A73" s="180">
        <v>0.38</v>
      </c>
      <c r="B73" s="182">
        <v>0.26</v>
      </c>
      <c r="C73" s="154">
        <v>0.41</v>
      </c>
      <c r="D73" s="182">
        <v>1.16000000000018</v>
      </c>
      <c r="I73" s="31"/>
    </row>
    <row r="74" spans="1:9" ht="12.75">
      <c r="A74" s="183">
        <v>0.39</v>
      </c>
      <c r="B74" s="182">
        <v>0.26</v>
      </c>
      <c r="C74" s="182">
        <v>0.42</v>
      </c>
      <c r="D74" s="182">
        <v>1.25</v>
      </c>
      <c r="I74" s="31"/>
    </row>
    <row r="75" spans="1:9" ht="12.75">
      <c r="A75" s="180">
        <v>0.4</v>
      </c>
      <c r="B75" s="182">
        <v>0.26</v>
      </c>
      <c r="C75" s="182">
        <v>0.43</v>
      </c>
      <c r="D75" s="182">
        <v>1.32999999999792</v>
      </c>
      <c r="I75" s="31"/>
    </row>
    <row r="76" spans="1:9" ht="12.75">
      <c r="A76" s="183">
        <v>0.41</v>
      </c>
      <c r="B76" s="182">
        <v>0.27</v>
      </c>
      <c r="C76" s="182">
        <v>0.44</v>
      </c>
      <c r="D76" s="182">
        <v>1.40999999999584</v>
      </c>
      <c r="I76" s="31"/>
    </row>
    <row r="77" spans="1:9" ht="12.75">
      <c r="A77" s="180">
        <v>0.42</v>
      </c>
      <c r="B77" s="182">
        <v>0.27</v>
      </c>
      <c r="C77" s="182">
        <v>0.45</v>
      </c>
      <c r="D77" s="182">
        <v>1.5</v>
      </c>
      <c r="I77" s="31"/>
    </row>
    <row r="78" spans="1:9" ht="12.75">
      <c r="A78" s="183">
        <v>0.43</v>
      </c>
      <c r="B78" s="182">
        <v>0.27</v>
      </c>
      <c r="C78" s="182">
        <v>0.46</v>
      </c>
      <c r="D78" s="182">
        <v>1.63000000008112</v>
      </c>
      <c r="I78" s="31"/>
    </row>
    <row r="79" spans="1:9" ht="12.75">
      <c r="A79" s="180">
        <v>0.44</v>
      </c>
      <c r="B79" s="182">
        <v>0.28</v>
      </c>
      <c r="C79" s="182">
        <v>0.46</v>
      </c>
      <c r="D79" s="182">
        <v>1.64000000008736</v>
      </c>
      <c r="I79" s="31"/>
    </row>
    <row r="80" spans="1:9" ht="12.75">
      <c r="A80" s="183">
        <v>0.45</v>
      </c>
      <c r="B80" s="182">
        <v>0.28</v>
      </c>
      <c r="C80" s="182">
        <v>0.47</v>
      </c>
      <c r="D80" s="182">
        <v>1.75</v>
      </c>
      <c r="I80" s="31"/>
    </row>
    <row r="81" spans="1:9" ht="12.75">
      <c r="A81" s="180">
        <v>0.46</v>
      </c>
      <c r="B81" s="182">
        <v>0.28</v>
      </c>
      <c r="C81" s="182">
        <v>0.48</v>
      </c>
      <c r="D81" s="182">
        <v>1.87999999805312</v>
      </c>
      <c r="I81" s="31"/>
    </row>
    <row r="82" spans="1:9" ht="12.75">
      <c r="A82" s="183">
        <v>0.47</v>
      </c>
      <c r="B82" s="182">
        <v>0.29</v>
      </c>
      <c r="C82" s="182">
        <v>0.49</v>
      </c>
      <c r="D82" s="182">
        <v>2</v>
      </c>
      <c r="I82" s="31"/>
    </row>
    <row r="83" spans="1:9" ht="12.75">
      <c r="A83" s="180">
        <v>0.48</v>
      </c>
      <c r="B83" s="182">
        <v>0.29</v>
      </c>
      <c r="C83" s="182">
        <v>0.5</v>
      </c>
      <c r="D83" s="182">
        <v>2.13000004672512</v>
      </c>
      <c r="I83" s="31"/>
    </row>
    <row r="84" spans="1:9" ht="12.75">
      <c r="A84" s="183">
        <v>0.49</v>
      </c>
      <c r="B84" s="182">
        <v>0.29</v>
      </c>
      <c r="C84" s="182">
        <v>0.51</v>
      </c>
      <c r="D84" s="182">
        <v>2.25</v>
      </c>
      <c r="I84" s="31"/>
    </row>
    <row r="85" spans="1:9" ht="12.75">
      <c r="A85" s="180">
        <v>0.5</v>
      </c>
      <c r="B85" s="182">
        <v>0.3</v>
      </c>
      <c r="I85" s="31"/>
    </row>
    <row r="86" spans="1:9" ht="12.75">
      <c r="A86" s="183">
        <v>0.509999999999999</v>
      </c>
      <c r="B86" s="182">
        <v>0.3</v>
      </c>
      <c r="I86" s="31"/>
    </row>
    <row r="87" spans="1:9" ht="12.75">
      <c r="A87" s="180">
        <v>0.519999999999999</v>
      </c>
      <c r="B87" s="182">
        <v>0.3</v>
      </c>
      <c r="I87" s="31"/>
    </row>
    <row r="88" spans="1:9" ht="12.75">
      <c r="A88" s="183">
        <v>0.529999999999999</v>
      </c>
      <c r="B88" s="182">
        <v>0.3</v>
      </c>
      <c r="I88" s="31"/>
    </row>
    <row r="89" spans="1:9" ht="12.75">
      <c r="A89" s="180">
        <v>0.539999999999999</v>
      </c>
      <c r="B89" s="182">
        <v>0.3</v>
      </c>
      <c r="I89" s="31"/>
    </row>
    <row r="90" spans="1:9" ht="12.75">
      <c r="A90" s="183">
        <v>0.549999999999999</v>
      </c>
      <c r="B90" s="182">
        <v>0.31</v>
      </c>
      <c r="I90" s="31"/>
    </row>
    <row r="91" spans="1:9" ht="12.75">
      <c r="A91" s="180">
        <v>0.559999999999999</v>
      </c>
      <c r="B91" s="182">
        <v>0.31</v>
      </c>
      <c r="I91" s="31"/>
    </row>
    <row r="92" spans="1:9" ht="12.75">
      <c r="A92" s="183">
        <v>0.569999999999999</v>
      </c>
      <c r="B92" s="182">
        <v>0.31</v>
      </c>
      <c r="I92" s="31"/>
    </row>
    <row r="93" spans="1:9" ht="12.75">
      <c r="A93" s="180">
        <v>0.579999999999999</v>
      </c>
      <c r="B93" s="182">
        <v>0.31</v>
      </c>
      <c r="I93" s="31"/>
    </row>
    <row r="94" spans="1:9" ht="12.75">
      <c r="A94" s="183">
        <v>0.589999999999999</v>
      </c>
      <c r="B94" s="182">
        <v>0.31</v>
      </c>
      <c r="I94" s="31"/>
    </row>
    <row r="95" spans="1:9" ht="12.75">
      <c r="A95" s="180">
        <v>0.599999999999999</v>
      </c>
      <c r="B95" s="182">
        <v>0.32</v>
      </c>
      <c r="I95" s="31"/>
    </row>
    <row r="96" spans="1:9" ht="12.75">
      <c r="A96" s="183">
        <v>0.609999999999999</v>
      </c>
      <c r="B96" s="182">
        <v>0.32</v>
      </c>
      <c r="I96" s="31"/>
    </row>
    <row r="97" spans="1:9" ht="12.75">
      <c r="A97" s="180">
        <v>0.619999999999999</v>
      </c>
      <c r="B97" s="182">
        <v>0.32</v>
      </c>
      <c r="I97" s="31"/>
    </row>
    <row r="98" spans="1:9" ht="12.75">
      <c r="A98" s="183">
        <v>0.629999999999999</v>
      </c>
      <c r="B98" s="182">
        <v>0.32</v>
      </c>
      <c r="I98" s="31"/>
    </row>
    <row r="99" spans="1:9" ht="12.75">
      <c r="A99" s="180">
        <v>0.639999999999999</v>
      </c>
      <c r="B99" s="182">
        <v>0.32</v>
      </c>
      <c r="I99" s="31"/>
    </row>
    <row r="100" spans="1:9" ht="12.75">
      <c r="A100" s="183">
        <v>0.649999999999999</v>
      </c>
      <c r="B100" s="154">
        <v>0.33</v>
      </c>
      <c r="I100" s="31"/>
    </row>
    <row r="101" spans="1:9" ht="12.75">
      <c r="A101" s="180">
        <v>0.659999999999999</v>
      </c>
      <c r="B101" s="154">
        <v>0.33</v>
      </c>
      <c r="I101" s="31"/>
    </row>
    <row r="102" spans="1:9" ht="12.75">
      <c r="A102" s="183">
        <v>0.669999999999999</v>
      </c>
      <c r="B102" s="154">
        <v>0.33</v>
      </c>
      <c r="I102" s="31"/>
    </row>
    <row r="103" spans="1:9" ht="12.75">
      <c r="A103" s="180">
        <v>0.679999999999999</v>
      </c>
      <c r="B103" s="154">
        <v>0.33</v>
      </c>
      <c r="I103" s="31"/>
    </row>
    <row r="104" spans="1:9" ht="12.75">
      <c r="A104" s="183">
        <v>0.689999999999999</v>
      </c>
      <c r="B104" s="154">
        <v>0.33</v>
      </c>
      <c r="I104" s="31"/>
    </row>
    <row r="105" spans="1:9" ht="12.75">
      <c r="A105" s="180">
        <v>0.699999999999999</v>
      </c>
      <c r="B105" s="154">
        <v>0.34</v>
      </c>
      <c r="I105" s="31"/>
    </row>
    <row r="106" spans="1:9" ht="12.75">
      <c r="A106" s="183">
        <v>0.709999999999999</v>
      </c>
      <c r="B106" s="154">
        <v>0.34</v>
      </c>
      <c r="I106" s="31"/>
    </row>
    <row r="107" spans="1:9" ht="12.75">
      <c r="A107" s="180">
        <v>0.719999999999999</v>
      </c>
      <c r="B107" s="154">
        <v>0.34</v>
      </c>
      <c r="I107" s="31"/>
    </row>
    <row r="108" spans="1:9" ht="12.75">
      <c r="A108" s="183">
        <v>0.729999999999999</v>
      </c>
      <c r="B108" s="154">
        <v>0.34</v>
      </c>
      <c r="I108" s="31"/>
    </row>
    <row r="109" spans="1:9" ht="12.75">
      <c r="A109" s="180">
        <v>0.739999999999999</v>
      </c>
      <c r="B109" s="154">
        <v>0.34</v>
      </c>
      <c r="I109" s="31"/>
    </row>
    <row r="110" spans="1:9" ht="12.75">
      <c r="A110" s="183">
        <v>0.75</v>
      </c>
      <c r="B110" s="182">
        <v>0.35</v>
      </c>
      <c r="I110" s="31"/>
    </row>
    <row r="111" spans="1:9" ht="12.75">
      <c r="A111" s="180">
        <v>0.760000000000001</v>
      </c>
      <c r="B111" s="182">
        <v>0.35</v>
      </c>
      <c r="I111" s="31"/>
    </row>
    <row r="112" spans="1:9" ht="12.75">
      <c r="A112" s="183">
        <v>0.770000000000002</v>
      </c>
      <c r="B112" s="182">
        <v>0.35</v>
      </c>
      <c r="I112" s="31"/>
    </row>
    <row r="113" spans="1:9" ht="12.75">
      <c r="A113" s="180">
        <v>0.780000000000003</v>
      </c>
      <c r="B113" s="182">
        <v>0.35</v>
      </c>
      <c r="I113" s="31"/>
    </row>
    <row r="114" spans="1:9" ht="12.75">
      <c r="A114" s="183">
        <v>0.790000000000004</v>
      </c>
      <c r="B114" s="182">
        <v>0.35</v>
      </c>
      <c r="I114" s="31"/>
    </row>
    <row r="115" spans="1:9" ht="12.75">
      <c r="A115" s="180">
        <v>0.800000000000005</v>
      </c>
      <c r="B115" s="182">
        <v>0.35</v>
      </c>
      <c r="I115" s="31"/>
    </row>
    <row r="116" spans="1:9" ht="12.75">
      <c r="A116" s="183">
        <v>0.810000000000006</v>
      </c>
      <c r="B116" s="182">
        <v>0.35</v>
      </c>
      <c r="I116" s="31"/>
    </row>
    <row r="117" spans="1:9" ht="12.75">
      <c r="A117" s="180">
        <v>0.820000000000007</v>
      </c>
      <c r="B117" s="182">
        <v>0.36</v>
      </c>
      <c r="I117" s="31"/>
    </row>
    <row r="118" spans="1:9" ht="12.75">
      <c r="A118" s="183">
        <v>0.830000000000008</v>
      </c>
      <c r="B118" s="182">
        <v>0.36</v>
      </c>
      <c r="I118" s="31"/>
    </row>
    <row r="119" spans="1:9" ht="12.75">
      <c r="A119" s="180">
        <v>0.840000000000009</v>
      </c>
      <c r="B119" s="182">
        <v>0.36</v>
      </c>
      <c r="I119" s="31"/>
    </row>
    <row r="120" spans="1:9" ht="12.75">
      <c r="A120" s="183">
        <v>0.85000000000001</v>
      </c>
      <c r="B120" s="182">
        <v>0.36</v>
      </c>
      <c r="I120" s="31"/>
    </row>
    <row r="121" spans="1:9" ht="12.75">
      <c r="A121" s="180">
        <v>0.860000000000011</v>
      </c>
      <c r="B121" s="182">
        <v>0.36</v>
      </c>
      <c r="I121" s="31"/>
    </row>
    <row r="122" spans="1:9" ht="12.75">
      <c r="A122" s="183">
        <v>0.870000000000012</v>
      </c>
      <c r="B122" s="182">
        <v>0.36</v>
      </c>
      <c r="I122" s="31"/>
    </row>
    <row r="123" spans="1:9" ht="12.75">
      <c r="A123" s="180">
        <v>0.880000000000013</v>
      </c>
      <c r="B123" s="182">
        <v>0.37</v>
      </c>
      <c r="I123" s="31"/>
    </row>
    <row r="124" spans="1:9" ht="12.75">
      <c r="A124" s="183">
        <v>0.890000000000014</v>
      </c>
      <c r="B124" s="182">
        <v>0.37</v>
      </c>
      <c r="I124" s="31"/>
    </row>
    <row r="125" spans="1:9" ht="12.75">
      <c r="A125" s="180">
        <v>0.900000000000015</v>
      </c>
      <c r="B125" s="182">
        <v>0.37</v>
      </c>
      <c r="I125" s="31"/>
    </row>
    <row r="126" spans="1:9" ht="12.75">
      <c r="A126" s="183">
        <v>0.910000000000016</v>
      </c>
      <c r="B126" s="182">
        <v>0.37</v>
      </c>
      <c r="I126" s="31"/>
    </row>
    <row r="127" spans="1:9" ht="12.75">
      <c r="A127" s="180">
        <v>0.920000000000017</v>
      </c>
      <c r="B127" s="182">
        <v>0.37</v>
      </c>
      <c r="I127" s="31"/>
    </row>
    <row r="128" spans="1:9" ht="12.75">
      <c r="A128" s="183">
        <v>0.930000000000018</v>
      </c>
      <c r="B128" s="182">
        <v>0.37</v>
      </c>
      <c r="I128" s="31"/>
    </row>
    <row r="129" spans="1:9" ht="12.75">
      <c r="A129" s="180">
        <v>0.940000000000019</v>
      </c>
      <c r="B129" s="182">
        <v>0.38</v>
      </c>
      <c r="I129" s="31"/>
    </row>
    <row r="130" spans="1:9" ht="12.75">
      <c r="A130" s="183">
        <v>0.95000000000002</v>
      </c>
      <c r="B130" s="182">
        <v>0.38</v>
      </c>
      <c r="I130" s="31"/>
    </row>
    <row r="131" spans="1:9" ht="12.75">
      <c r="A131" s="180">
        <v>0.960000000000021</v>
      </c>
      <c r="B131" s="182">
        <v>0.38</v>
      </c>
      <c r="I131" s="31"/>
    </row>
    <row r="132" spans="1:9" ht="12.75">
      <c r="A132" s="183">
        <v>0.970000000000022</v>
      </c>
      <c r="B132" s="182">
        <v>0.38</v>
      </c>
      <c r="I132" s="31"/>
    </row>
    <row r="133" spans="1:9" ht="12.75">
      <c r="A133" s="180">
        <v>0.980000000000023</v>
      </c>
      <c r="B133" s="182">
        <v>0.38</v>
      </c>
      <c r="I133" s="31"/>
    </row>
    <row r="134" spans="1:9" ht="12.75">
      <c r="A134" s="180">
        <v>0.990000000000024</v>
      </c>
      <c r="B134" s="182">
        <v>0.38</v>
      </c>
      <c r="I134" s="31"/>
    </row>
    <row r="135" spans="1:9" ht="12.75">
      <c r="A135" s="183">
        <v>1.00000000000002</v>
      </c>
      <c r="B135" s="182">
        <v>0.39</v>
      </c>
      <c r="I135" s="31"/>
    </row>
    <row r="136" spans="1:9" ht="12.75">
      <c r="A136" s="180">
        <v>1.01000000000003</v>
      </c>
      <c r="B136" s="182">
        <v>0.39</v>
      </c>
      <c r="I136" s="31"/>
    </row>
    <row r="137" spans="1:9" ht="12.75">
      <c r="A137" s="183">
        <v>1.02000000000004</v>
      </c>
      <c r="B137" s="182">
        <v>0.39</v>
      </c>
      <c r="I137" s="31"/>
    </row>
    <row r="138" spans="1:9" ht="12.75">
      <c r="A138" s="180">
        <v>1.03000000000005</v>
      </c>
      <c r="B138" s="182">
        <v>0.39</v>
      </c>
      <c r="I138" s="31"/>
    </row>
    <row r="139" spans="1:9" ht="12.75">
      <c r="A139" s="183">
        <v>1.04000000000006</v>
      </c>
      <c r="B139" s="182">
        <v>0.39</v>
      </c>
      <c r="I139" s="31"/>
    </row>
    <row r="140" spans="1:9" ht="12.75">
      <c r="A140" s="180">
        <v>1.05000000000007</v>
      </c>
      <c r="B140" s="182">
        <v>0.39</v>
      </c>
      <c r="I140" s="31"/>
    </row>
    <row r="141" spans="1:9" ht="12.75">
      <c r="A141" s="183">
        <v>1.06000000000008</v>
      </c>
      <c r="B141" s="182">
        <v>0.39</v>
      </c>
      <c r="I141" s="31"/>
    </row>
    <row r="142" spans="1:9" ht="12.75">
      <c r="A142" s="180">
        <v>1.07000000000009</v>
      </c>
      <c r="B142" s="182">
        <v>0.39</v>
      </c>
      <c r="I142" s="31"/>
    </row>
    <row r="143" spans="1:9" ht="12.75">
      <c r="A143" s="183">
        <v>1.0800000000001</v>
      </c>
      <c r="B143" s="154">
        <v>0.4</v>
      </c>
      <c r="I143" s="31"/>
    </row>
    <row r="144" spans="1:9" ht="12.75">
      <c r="A144" s="180">
        <v>1.09000000000011</v>
      </c>
      <c r="B144" s="154">
        <v>0.4</v>
      </c>
      <c r="I144" s="31"/>
    </row>
    <row r="145" spans="1:9" ht="12.75">
      <c r="A145" s="183">
        <v>1.10000000000012</v>
      </c>
      <c r="B145" s="154">
        <v>0.4</v>
      </c>
      <c r="I145" s="31"/>
    </row>
    <row r="146" spans="1:9" ht="12.75">
      <c r="A146" s="180">
        <v>1.11000000000013</v>
      </c>
      <c r="B146" s="154">
        <v>0.4</v>
      </c>
      <c r="I146" s="31"/>
    </row>
    <row r="147" spans="1:9" ht="12.75">
      <c r="A147" s="183">
        <v>1.12000000000014</v>
      </c>
      <c r="B147" s="154">
        <v>0.4</v>
      </c>
      <c r="I147" s="31"/>
    </row>
    <row r="148" spans="1:9" ht="12.75">
      <c r="A148" s="180">
        <v>1.13000000000015</v>
      </c>
      <c r="B148" s="154">
        <v>0.4</v>
      </c>
      <c r="I148" s="31"/>
    </row>
    <row r="149" spans="1:9" ht="12.75">
      <c r="A149" s="183">
        <v>1.14000000000016</v>
      </c>
      <c r="B149" s="154">
        <v>0.4</v>
      </c>
      <c r="I149" s="31"/>
    </row>
    <row r="150" spans="1:9" ht="12.75">
      <c r="A150" s="180">
        <v>1.15000000000017</v>
      </c>
      <c r="B150" s="154">
        <v>0.4</v>
      </c>
      <c r="I150" s="31"/>
    </row>
    <row r="151" spans="1:9" ht="12.75">
      <c r="A151" s="183">
        <v>1.16000000000018</v>
      </c>
      <c r="B151" s="154">
        <v>0.41</v>
      </c>
      <c r="I151" s="31"/>
    </row>
    <row r="152" spans="1:9" ht="12.75">
      <c r="A152" s="180">
        <v>1.17000000000019</v>
      </c>
      <c r="B152" s="154">
        <v>0.41</v>
      </c>
      <c r="I152" s="31"/>
    </row>
    <row r="153" spans="1:9" ht="12.75">
      <c r="A153" s="183">
        <v>1.1800000000002</v>
      </c>
      <c r="B153" s="154">
        <v>0.41</v>
      </c>
      <c r="I153" s="31"/>
    </row>
    <row r="154" spans="1:9" ht="12.75">
      <c r="A154" s="180">
        <v>1.19000000000021</v>
      </c>
      <c r="B154" s="154">
        <v>0.41</v>
      </c>
      <c r="I154" s="31"/>
    </row>
    <row r="155" spans="1:9" ht="12.75">
      <c r="A155" s="183">
        <v>1.20000000000022</v>
      </c>
      <c r="B155" s="154">
        <v>0.41</v>
      </c>
      <c r="I155" s="31"/>
    </row>
    <row r="156" spans="1:9" ht="12.75">
      <c r="A156" s="180">
        <v>1.21000000000023</v>
      </c>
      <c r="B156" s="154">
        <v>0.41</v>
      </c>
      <c r="I156" s="31"/>
    </row>
    <row r="157" spans="1:9" ht="12.75">
      <c r="A157" s="183">
        <v>1.22000000000024</v>
      </c>
      <c r="B157" s="154">
        <v>0.41</v>
      </c>
      <c r="I157" s="31"/>
    </row>
    <row r="158" spans="1:9" ht="12.75">
      <c r="A158" s="180">
        <v>1.23000000000025</v>
      </c>
      <c r="B158" s="154">
        <v>0.41</v>
      </c>
      <c r="I158" s="31"/>
    </row>
    <row r="159" spans="1:9" ht="12.75">
      <c r="A159" s="183">
        <v>1.24000000000026</v>
      </c>
      <c r="B159" s="154">
        <v>0.41</v>
      </c>
      <c r="I159" s="31"/>
    </row>
    <row r="160" spans="1:9" ht="12.75">
      <c r="A160" s="183">
        <v>1.25</v>
      </c>
      <c r="B160" s="182">
        <v>0.42</v>
      </c>
      <c r="I160" s="31"/>
    </row>
    <row r="161" spans="1:9" ht="12.75">
      <c r="A161" s="183">
        <v>1.25999999999974</v>
      </c>
      <c r="B161" s="182">
        <v>0.42</v>
      </c>
      <c r="I161" s="31"/>
    </row>
    <row r="162" spans="1:9" ht="12.75">
      <c r="A162" s="183">
        <v>1.26999999999948</v>
      </c>
      <c r="B162" s="182">
        <v>0.42</v>
      </c>
      <c r="I162" s="31"/>
    </row>
    <row r="163" spans="1:9" ht="12.75">
      <c r="A163" s="183">
        <v>1.27999999999922</v>
      </c>
      <c r="B163" s="182">
        <v>0.42</v>
      </c>
      <c r="I163" s="31"/>
    </row>
    <row r="164" spans="1:9" ht="12.75">
      <c r="A164" s="183">
        <v>1.28999999999896</v>
      </c>
      <c r="B164" s="182">
        <v>0.42</v>
      </c>
      <c r="I164" s="31"/>
    </row>
    <row r="165" spans="1:9" ht="12.75">
      <c r="A165" s="183">
        <v>1.2999999999987</v>
      </c>
      <c r="B165" s="182">
        <v>0.42</v>
      </c>
      <c r="I165" s="31"/>
    </row>
    <row r="166" spans="1:9" ht="12.75">
      <c r="A166" s="183">
        <v>1.30999999999844</v>
      </c>
      <c r="B166" s="182">
        <v>0.42</v>
      </c>
      <c r="I166" s="31"/>
    </row>
    <row r="167" spans="1:9" ht="12.75">
      <c r="A167" s="183">
        <v>1.31999999999818</v>
      </c>
      <c r="B167" s="182">
        <v>0.42</v>
      </c>
      <c r="I167" s="31"/>
    </row>
    <row r="168" spans="1:9" ht="12.75">
      <c r="A168" s="183">
        <v>1.32999999999792</v>
      </c>
      <c r="B168" s="182">
        <v>0.43</v>
      </c>
      <c r="I168" s="31"/>
    </row>
    <row r="169" spans="1:9" ht="12.75">
      <c r="A169" s="183">
        <v>1.33999999999766</v>
      </c>
      <c r="B169" s="182">
        <v>0.43</v>
      </c>
      <c r="I169" s="31"/>
    </row>
    <row r="170" spans="1:9" ht="12.75">
      <c r="A170" s="183">
        <v>1.3499999999974</v>
      </c>
      <c r="B170" s="182">
        <v>0.43</v>
      </c>
      <c r="I170" s="31"/>
    </row>
    <row r="171" spans="1:9" ht="12.75">
      <c r="A171" s="183">
        <v>1.35999999999714</v>
      </c>
      <c r="B171" s="182">
        <v>0.43</v>
      </c>
      <c r="I171" s="31"/>
    </row>
    <row r="172" spans="1:9" ht="12.75">
      <c r="A172" s="183">
        <v>1.36999999999688</v>
      </c>
      <c r="B172" s="182">
        <v>0.43</v>
      </c>
      <c r="I172" s="31"/>
    </row>
    <row r="173" spans="1:9" ht="12.75">
      <c r="A173" s="183">
        <v>1.37999999999662</v>
      </c>
      <c r="B173" s="182">
        <v>0.43</v>
      </c>
      <c r="I173" s="31"/>
    </row>
    <row r="174" spans="1:9" ht="12.75">
      <c r="A174" s="183">
        <v>1.38999999999636</v>
      </c>
      <c r="B174" s="182">
        <v>0.43</v>
      </c>
      <c r="I174" s="31"/>
    </row>
    <row r="175" spans="1:9" ht="12.75">
      <c r="A175" s="183">
        <v>1.3999999999961</v>
      </c>
      <c r="B175" s="182">
        <v>0.43</v>
      </c>
      <c r="I175" s="31"/>
    </row>
    <row r="176" spans="1:9" ht="12.75">
      <c r="A176" s="183">
        <v>1.40999999999584</v>
      </c>
      <c r="B176" s="182">
        <v>0.44</v>
      </c>
      <c r="I176" s="31"/>
    </row>
    <row r="177" spans="1:9" ht="12.75">
      <c r="A177" s="183">
        <v>1.41999999999558</v>
      </c>
      <c r="B177" s="182">
        <v>0.44</v>
      </c>
      <c r="I177" s="31"/>
    </row>
    <row r="178" spans="1:9" ht="12.75">
      <c r="A178" s="183">
        <v>1.42999999999532</v>
      </c>
      <c r="B178" s="182">
        <v>0.44</v>
      </c>
      <c r="I178" s="31"/>
    </row>
    <row r="179" spans="1:9" ht="12.75">
      <c r="A179" s="183">
        <v>1.43999999999506</v>
      </c>
      <c r="B179" s="182">
        <v>0.44</v>
      </c>
      <c r="I179" s="31"/>
    </row>
    <row r="180" spans="1:9" ht="12.75">
      <c r="A180" s="183">
        <v>1.4499999999948</v>
      </c>
      <c r="B180" s="182">
        <v>0.44</v>
      </c>
      <c r="I180" s="31"/>
    </row>
    <row r="181" spans="1:9" ht="12.75">
      <c r="A181" s="183">
        <v>1.45999999999454</v>
      </c>
      <c r="B181" s="182">
        <v>0.44</v>
      </c>
      <c r="I181" s="31"/>
    </row>
    <row r="182" spans="1:9" ht="12.75">
      <c r="A182" s="183">
        <v>1.46999999999428</v>
      </c>
      <c r="B182" s="182">
        <v>0.44</v>
      </c>
      <c r="I182" s="31"/>
    </row>
    <row r="183" spans="1:9" ht="12.75">
      <c r="A183" s="183">
        <v>1.47999999999402</v>
      </c>
      <c r="B183" s="182">
        <v>0.44</v>
      </c>
      <c r="I183" s="31"/>
    </row>
    <row r="184" spans="1:9" ht="12.75">
      <c r="A184" s="183">
        <v>1.48999999999376</v>
      </c>
      <c r="B184" s="182">
        <v>0.44</v>
      </c>
      <c r="I184" s="31"/>
    </row>
    <row r="185" spans="1:9" ht="12.75">
      <c r="A185" s="183">
        <v>1.5</v>
      </c>
      <c r="B185" s="182">
        <v>0.45</v>
      </c>
      <c r="I185" s="31"/>
    </row>
    <row r="186" spans="1:9" ht="12.75">
      <c r="A186" s="183">
        <v>1.51000000000624</v>
      </c>
      <c r="B186" s="182">
        <v>0.45</v>
      </c>
      <c r="I186" s="31"/>
    </row>
    <row r="187" spans="1:9" ht="12.75">
      <c r="A187" s="183">
        <v>1.52000000001248</v>
      </c>
      <c r="B187" s="182">
        <v>0.45</v>
      </c>
      <c r="I187" s="31"/>
    </row>
    <row r="188" spans="1:9" ht="12.75">
      <c r="A188" s="183">
        <v>1.53000000001872</v>
      </c>
      <c r="B188" s="182">
        <v>0.45</v>
      </c>
      <c r="I188" s="31"/>
    </row>
    <row r="189" spans="1:9" ht="12.75">
      <c r="A189" s="183">
        <v>1.54000000002496</v>
      </c>
      <c r="B189" s="182">
        <v>0.45</v>
      </c>
      <c r="I189" s="31"/>
    </row>
    <row r="190" spans="1:9" ht="12.75">
      <c r="A190" s="183">
        <v>1.5500000000312</v>
      </c>
      <c r="B190" s="182">
        <v>0.45</v>
      </c>
      <c r="I190" s="31"/>
    </row>
    <row r="191" spans="1:9" ht="12.75">
      <c r="A191" s="183">
        <v>1.56000000003744</v>
      </c>
      <c r="B191" s="182">
        <v>0.45</v>
      </c>
      <c r="I191" s="31"/>
    </row>
    <row r="192" spans="1:9" ht="12.75">
      <c r="A192" s="183">
        <v>1.57000000004368</v>
      </c>
      <c r="B192" s="182">
        <v>0.45</v>
      </c>
      <c r="I192" s="31"/>
    </row>
    <row r="193" spans="1:9" ht="12.75">
      <c r="A193" s="183">
        <v>1.58000000004992</v>
      </c>
      <c r="B193" s="182">
        <v>0.45</v>
      </c>
      <c r="I193" s="31"/>
    </row>
    <row r="194" spans="1:9" ht="12.75">
      <c r="A194" s="183">
        <v>1.59000000005616</v>
      </c>
      <c r="B194" s="182">
        <v>0.45</v>
      </c>
      <c r="I194" s="31"/>
    </row>
    <row r="195" spans="1:9" ht="12.75">
      <c r="A195" s="183">
        <v>1.6000000000624</v>
      </c>
      <c r="B195" s="182">
        <v>0.45</v>
      </c>
      <c r="I195" s="31"/>
    </row>
    <row r="196" spans="1:9" ht="12.75">
      <c r="A196" s="183">
        <v>1.61000000006864</v>
      </c>
      <c r="B196" s="182">
        <v>0.45</v>
      </c>
      <c r="I196" s="31"/>
    </row>
    <row r="197" spans="1:9" ht="12.75">
      <c r="A197" s="183">
        <v>1.62000000007488</v>
      </c>
      <c r="B197" s="182">
        <v>0.45</v>
      </c>
      <c r="I197" s="31"/>
    </row>
    <row r="198" spans="1:9" ht="12.75">
      <c r="A198" s="183">
        <v>1.63000000008112</v>
      </c>
      <c r="B198" s="182">
        <v>0.46</v>
      </c>
      <c r="I198" s="31"/>
    </row>
    <row r="199" spans="1:9" ht="12.75">
      <c r="A199" s="183">
        <v>1.64000000008736</v>
      </c>
      <c r="B199" s="182">
        <v>0.46</v>
      </c>
      <c r="I199" s="31"/>
    </row>
    <row r="200" spans="1:9" ht="12.75">
      <c r="A200" s="183">
        <v>1.6500000000936</v>
      </c>
      <c r="B200" s="182">
        <v>0.46</v>
      </c>
      <c r="I200" s="31"/>
    </row>
    <row r="201" spans="1:9" ht="12.75">
      <c r="A201" s="183">
        <v>1.66000000009984</v>
      </c>
      <c r="B201" s="182">
        <v>0.46</v>
      </c>
      <c r="I201" s="31"/>
    </row>
    <row r="202" spans="1:9" ht="12.75">
      <c r="A202" s="183">
        <v>1.67000000010608</v>
      </c>
      <c r="B202" s="182">
        <v>0.46</v>
      </c>
      <c r="I202" s="31"/>
    </row>
    <row r="203" spans="1:9" ht="12.75">
      <c r="A203" s="183">
        <v>1.68000000011232</v>
      </c>
      <c r="B203" s="182">
        <v>0.46</v>
      </c>
      <c r="I203" s="31"/>
    </row>
    <row r="204" spans="1:9" ht="12.75">
      <c r="A204" s="183">
        <v>1.69000000011856</v>
      </c>
      <c r="B204" s="182">
        <v>0.46</v>
      </c>
      <c r="I204" s="31"/>
    </row>
    <row r="205" spans="1:9" ht="12.75">
      <c r="A205" s="183">
        <v>1.7000000001248</v>
      </c>
      <c r="B205" s="182">
        <v>0.46</v>
      </c>
      <c r="I205" s="31"/>
    </row>
    <row r="206" spans="1:9" ht="12.75">
      <c r="A206" s="183">
        <v>1.71000000013104</v>
      </c>
      <c r="B206" s="182">
        <v>0.46</v>
      </c>
      <c r="I206" s="31"/>
    </row>
    <row r="207" spans="1:9" ht="12.75">
      <c r="A207" s="183">
        <v>1.72000000013728</v>
      </c>
      <c r="B207" s="182">
        <v>0.46</v>
      </c>
      <c r="I207" s="31"/>
    </row>
    <row r="208" spans="1:9" ht="12.75">
      <c r="A208" s="183">
        <v>1.73000000014352</v>
      </c>
      <c r="B208" s="182">
        <v>0.46</v>
      </c>
      <c r="I208" s="31"/>
    </row>
    <row r="209" spans="1:9" ht="12.75">
      <c r="A209" s="183">
        <v>1.74000000014976</v>
      </c>
      <c r="B209" s="182">
        <v>0.46</v>
      </c>
      <c r="I209" s="31"/>
    </row>
    <row r="210" spans="1:9" ht="12.75">
      <c r="A210" s="183">
        <v>1.75</v>
      </c>
      <c r="B210" s="182">
        <v>0.47</v>
      </c>
      <c r="I210" s="31"/>
    </row>
    <row r="211" spans="1:9" ht="12.75">
      <c r="A211" s="183">
        <v>1.75999999985024</v>
      </c>
      <c r="B211" s="182">
        <v>0.47</v>
      </c>
      <c r="I211" s="31"/>
    </row>
    <row r="212" spans="1:9" ht="12.75">
      <c r="A212" s="183">
        <v>1.76999999970048</v>
      </c>
      <c r="B212" s="182">
        <v>0.47</v>
      </c>
      <c r="I212" s="31"/>
    </row>
    <row r="213" spans="1:9" ht="12.75">
      <c r="A213" s="183">
        <v>1.77999999955072</v>
      </c>
      <c r="B213" s="182">
        <v>0.47</v>
      </c>
      <c r="I213" s="31"/>
    </row>
    <row r="214" spans="1:9" ht="12.75">
      <c r="A214" s="183">
        <v>1.78999999940096</v>
      </c>
      <c r="B214" s="182">
        <v>0.47</v>
      </c>
      <c r="I214" s="31"/>
    </row>
    <row r="215" spans="1:9" ht="12.75">
      <c r="A215" s="183">
        <v>1.7999999992512</v>
      </c>
      <c r="B215" s="182">
        <v>0.47</v>
      </c>
      <c r="I215" s="31"/>
    </row>
    <row r="216" spans="1:9" ht="12.75">
      <c r="A216" s="183">
        <v>1.80999999910144</v>
      </c>
      <c r="B216" s="182">
        <v>0.47</v>
      </c>
      <c r="I216" s="31"/>
    </row>
    <row r="217" spans="1:9" ht="12.75">
      <c r="A217" s="183">
        <v>1.81999999895168</v>
      </c>
      <c r="B217" s="182">
        <v>0.47</v>
      </c>
      <c r="I217" s="31"/>
    </row>
    <row r="218" spans="1:9" ht="12.75">
      <c r="A218" s="183">
        <v>1.82999999880192</v>
      </c>
      <c r="B218" s="182">
        <v>0.47</v>
      </c>
      <c r="I218" s="31"/>
    </row>
    <row r="219" spans="1:9" ht="12.75">
      <c r="A219" s="183">
        <v>1.83999999865216</v>
      </c>
      <c r="B219" s="182">
        <v>0.47</v>
      </c>
      <c r="I219" s="31"/>
    </row>
    <row r="220" spans="1:9" ht="12.75">
      <c r="A220" s="183">
        <v>1.8499999985024</v>
      </c>
      <c r="B220" s="182">
        <v>0.47</v>
      </c>
      <c r="I220" s="31"/>
    </row>
    <row r="221" spans="1:9" ht="12.75">
      <c r="A221" s="183">
        <v>1.85999999835264</v>
      </c>
      <c r="B221" s="182">
        <v>0.47</v>
      </c>
      <c r="I221" s="31"/>
    </row>
    <row r="222" spans="1:9" ht="12.75">
      <c r="A222" s="183">
        <v>1.86999999820288</v>
      </c>
      <c r="B222" s="182">
        <v>0.47</v>
      </c>
      <c r="I222" s="31"/>
    </row>
    <row r="223" spans="1:9" ht="12.75">
      <c r="A223" s="183">
        <v>1.87999999805312</v>
      </c>
      <c r="B223" s="182">
        <v>0.48</v>
      </c>
      <c r="I223" s="31"/>
    </row>
    <row r="224" spans="1:9" ht="12.75">
      <c r="A224" s="183">
        <v>1.88999999790336</v>
      </c>
      <c r="B224" s="182">
        <v>0.48</v>
      </c>
      <c r="I224" s="31"/>
    </row>
    <row r="225" spans="1:9" ht="12.75">
      <c r="A225" s="183">
        <v>1.8999999977536</v>
      </c>
      <c r="B225" s="182">
        <v>0.48</v>
      </c>
      <c r="I225" s="31"/>
    </row>
    <row r="226" spans="1:9" ht="12.75">
      <c r="A226" s="183">
        <v>1.90999999760384</v>
      </c>
      <c r="B226" s="182">
        <v>0.48</v>
      </c>
      <c r="I226" s="31"/>
    </row>
    <row r="227" spans="1:9" ht="12.75">
      <c r="A227" s="183">
        <v>1.91999999745408</v>
      </c>
      <c r="B227" s="182">
        <v>0.48</v>
      </c>
      <c r="I227" s="31"/>
    </row>
    <row r="228" spans="1:9" ht="12.75">
      <c r="A228" s="183">
        <v>1.92999999730432</v>
      </c>
      <c r="B228" s="182">
        <v>0.48</v>
      </c>
      <c r="I228" s="31"/>
    </row>
    <row r="229" spans="1:9" ht="12.75">
      <c r="A229" s="183">
        <v>1.93999999715456</v>
      </c>
      <c r="B229" s="182">
        <v>0.48</v>
      </c>
      <c r="I229" s="31"/>
    </row>
    <row r="230" spans="1:9" ht="12.75">
      <c r="A230" s="183">
        <v>1.9499999970048</v>
      </c>
      <c r="B230" s="182">
        <v>0.48</v>
      </c>
      <c r="I230" s="31"/>
    </row>
    <row r="231" spans="1:9" ht="12.75">
      <c r="A231" s="183">
        <v>1.95999999685504</v>
      </c>
      <c r="B231" s="182">
        <v>0.48</v>
      </c>
      <c r="I231" s="31"/>
    </row>
    <row r="232" spans="1:9" ht="12.75">
      <c r="A232" s="183">
        <v>1.96999999670528</v>
      </c>
      <c r="B232" s="182">
        <v>0.48</v>
      </c>
      <c r="I232" s="31"/>
    </row>
    <row r="233" spans="1:9" ht="12.75">
      <c r="A233" s="183">
        <v>1.97999999655552</v>
      </c>
      <c r="B233" s="182">
        <v>0.48</v>
      </c>
      <c r="I233" s="31"/>
    </row>
    <row r="234" spans="1:9" ht="12.75">
      <c r="A234" s="183">
        <v>1.98999999640576</v>
      </c>
      <c r="B234" s="182">
        <v>0.48</v>
      </c>
      <c r="I234" s="31"/>
    </row>
    <row r="235" spans="1:9" ht="12.75">
      <c r="A235" s="183">
        <v>2</v>
      </c>
      <c r="B235" s="182">
        <v>0.49</v>
      </c>
      <c r="I235" s="31"/>
    </row>
    <row r="236" spans="1:9" ht="12.75">
      <c r="A236" s="183">
        <v>2.01000000359424</v>
      </c>
      <c r="B236" s="182">
        <v>0.49</v>
      </c>
      <c r="I236" s="31"/>
    </row>
    <row r="237" spans="1:9" ht="12.75">
      <c r="A237" s="183">
        <v>2.02000000718848</v>
      </c>
      <c r="B237" s="182">
        <v>0.49</v>
      </c>
      <c r="I237" s="31"/>
    </row>
    <row r="238" spans="1:9" ht="12.75">
      <c r="A238" s="183">
        <v>2.03000001078272</v>
      </c>
      <c r="B238" s="182">
        <v>0.49</v>
      </c>
      <c r="I238" s="31"/>
    </row>
    <row r="239" spans="1:9" ht="12.75">
      <c r="A239" s="183">
        <v>2.04000001437696</v>
      </c>
      <c r="B239" s="182">
        <v>0.49</v>
      </c>
      <c r="I239" s="31"/>
    </row>
    <row r="240" spans="1:9" ht="12.75">
      <c r="A240" s="183">
        <v>2.0500000179712</v>
      </c>
      <c r="B240" s="182">
        <v>0.49</v>
      </c>
      <c r="I240" s="31"/>
    </row>
    <row r="241" spans="1:9" ht="12.75">
      <c r="A241" s="183">
        <v>2.06000002156544</v>
      </c>
      <c r="B241" s="182">
        <v>0.49</v>
      </c>
      <c r="I241" s="31"/>
    </row>
    <row r="242" spans="1:9" ht="12.75">
      <c r="A242" s="183">
        <v>2.07000002515968</v>
      </c>
      <c r="B242" s="182">
        <v>0.49</v>
      </c>
      <c r="I242" s="31"/>
    </row>
    <row r="243" spans="1:9" ht="12.75">
      <c r="A243" s="183">
        <v>2.08000002875392</v>
      </c>
      <c r="B243" s="182">
        <v>0.49</v>
      </c>
      <c r="I243" s="31"/>
    </row>
    <row r="244" spans="1:9" ht="12.75">
      <c r="A244" s="183">
        <v>2.09000003234816</v>
      </c>
      <c r="B244" s="182">
        <v>0.49</v>
      </c>
      <c r="I244" s="31"/>
    </row>
    <row r="245" spans="1:9" ht="12.75">
      <c r="A245" s="183">
        <v>2.1000000359424</v>
      </c>
      <c r="B245" s="182">
        <v>0.49</v>
      </c>
      <c r="I245" s="31"/>
    </row>
    <row r="246" spans="1:9" ht="12.75">
      <c r="A246" s="183">
        <v>2.11000003953664</v>
      </c>
      <c r="B246" s="182">
        <v>0.49</v>
      </c>
      <c r="I246" s="31"/>
    </row>
    <row r="247" spans="1:9" ht="12.75">
      <c r="A247" s="183">
        <v>2.12000004313088</v>
      </c>
      <c r="B247" s="182">
        <v>0.49</v>
      </c>
      <c r="I247" s="31"/>
    </row>
    <row r="248" spans="1:9" ht="12.75">
      <c r="A248" s="183">
        <v>2.13000004672512</v>
      </c>
      <c r="B248" s="182">
        <v>0.5</v>
      </c>
      <c r="I248" s="31"/>
    </row>
    <row r="249" spans="1:9" ht="12.75">
      <c r="A249" s="183">
        <v>2.14000005031936</v>
      </c>
      <c r="B249" s="182">
        <v>0.5</v>
      </c>
      <c r="I249" s="31"/>
    </row>
    <row r="250" spans="1:9" ht="12.75">
      <c r="A250" s="183">
        <v>2.1500000539136</v>
      </c>
      <c r="B250" s="182">
        <v>0.5</v>
      </c>
      <c r="I250" s="31"/>
    </row>
    <row r="251" spans="1:9" ht="12.75">
      <c r="A251" s="183">
        <v>2.16000005750784</v>
      </c>
      <c r="B251" s="182">
        <v>0.5</v>
      </c>
      <c r="I251" s="31"/>
    </row>
    <row r="252" spans="1:9" ht="12.75">
      <c r="A252" s="183">
        <v>2.17000006110208</v>
      </c>
      <c r="B252" s="182">
        <v>0.5</v>
      </c>
      <c r="I252" s="31"/>
    </row>
    <row r="253" spans="1:9" ht="12.75">
      <c r="A253" s="183">
        <v>2.18000006469632</v>
      </c>
      <c r="B253" s="182">
        <v>0.5</v>
      </c>
      <c r="I253" s="31"/>
    </row>
    <row r="254" spans="1:9" ht="12.75">
      <c r="A254" s="183">
        <v>2.19000006829056</v>
      </c>
      <c r="B254" s="182">
        <v>0.5</v>
      </c>
      <c r="I254" s="31"/>
    </row>
    <row r="255" spans="1:9" ht="12.75">
      <c r="A255" s="183">
        <v>2.2000000718848</v>
      </c>
      <c r="B255" s="182">
        <v>0.5</v>
      </c>
      <c r="I255" s="31"/>
    </row>
    <row r="256" spans="1:9" ht="12.75">
      <c r="A256" s="183">
        <v>2.21000007547904</v>
      </c>
      <c r="B256" s="182">
        <v>0.5</v>
      </c>
      <c r="I256" s="31"/>
    </row>
    <row r="257" spans="1:9" ht="12.75">
      <c r="A257" s="183">
        <v>2.22000007907328</v>
      </c>
      <c r="B257" s="182">
        <v>0.5</v>
      </c>
      <c r="I257" s="31"/>
    </row>
    <row r="258" spans="1:9" ht="12.75">
      <c r="A258" s="183">
        <v>2.23000008266752</v>
      </c>
      <c r="B258" s="182">
        <v>0.5</v>
      </c>
      <c r="I258" s="31"/>
    </row>
    <row r="259" spans="1:9" ht="12.75">
      <c r="A259" s="183">
        <v>2.24000008626176</v>
      </c>
      <c r="B259" s="182">
        <v>0.5</v>
      </c>
      <c r="I259" s="31"/>
    </row>
    <row r="260" spans="1:9" ht="12.75">
      <c r="A260" s="183">
        <v>2.25</v>
      </c>
      <c r="B260" s="182">
        <v>0.51</v>
      </c>
      <c r="I260" s="31"/>
    </row>
    <row r="261" spans="1:9" ht="12.75">
      <c r="A261" s="183">
        <v>2.25999991373824</v>
      </c>
      <c r="B261" s="182">
        <v>0.51</v>
      </c>
      <c r="I261" s="31"/>
    </row>
    <row r="262" spans="1:9" ht="12.75">
      <c r="A262" s="183">
        <v>2.26999982747648</v>
      </c>
      <c r="B262" s="182">
        <v>0.51</v>
      </c>
      <c r="I262" s="31"/>
    </row>
    <row r="263" spans="1:9" ht="12.75">
      <c r="A263" s="183">
        <v>2.27999974121472</v>
      </c>
      <c r="B263" s="182">
        <v>0.51</v>
      </c>
      <c r="I263" s="31"/>
    </row>
    <row r="264" spans="1:9" ht="12.75">
      <c r="A264" s="183">
        <v>2.28999965495296</v>
      </c>
      <c r="B264" s="182">
        <v>0.51</v>
      </c>
      <c r="I264" s="31"/>
    </row>
    <row r="265" spans="1:9" ht="12.75">
      <c r="A265" s="183">
        <v>2.2999995686912</v>
      </c>
      <c r="B265" s="182">
        <v>0.51</v>
      </c>
      <c r="I265" s="31"/>
    </row>
    <row r="266" spans="1:9" ht="12.75">
      <c r="A266" s="183">
        <v>2.30999948242944</v>
      </c>
      <c r="B266" s="182">
        <v>0.51</v>
      </c>
      <c r="I266" s="31"/>
    </row>
    <row r="267" spans="1:9" ht="12.75">
      <c r="A267" s="183">
        <v>2.31999939616768</v>
      </c>
      <c r="B267" s="182">
        <v>0.51</v>
      </c>
      <c r="I267" s="31"/>
    </row>
    <row r="268" spans="1:9" ht="12.75">
      <c r="A268" s="183">
        <v>2.32999930990592</v>
      </c>
      <c r="B268" s="182">
        <v>0.51</v>
      </c>
      <c r="I268" s="31"/>
    </row>
    <row r="269" spans="1:9" ht="12.75">
      <c r="A269" s="183">
        <v>2.33999922364416</v>
      </c>
      <c r="B269" s="182">
        <v>0.51</v>
      </c>
      <c r="I269" s="31"/>
    </row>
    <row r="270" spans="1:9" ht="12.75">
      <c r="A270" s="183">
        <v>2.3499991373824</v>
      </c>
      <c r="B270" s="182">
        <v>0.51</v>
      </c>
      <c r="I270" s="31"/>
    </row>
    <row r="271" spans="1:9" ht="12.75">
      <c r="A271" s="183">
        <v>2.35999905112064</v>
      </c>
      <c r="B271" s="182">
        <v>0.51</v>
      </c>
      <c r="I271" s="31"/>
    </row>
    <row r="272" spans="1:9" ht="12.75">
      <c r="A272" s="183">
        <v>2.36999896485888</v>
      </c>
      <c r="B272" s="182">
        <v>0.51</v>
      </c>
      <c r="I272" s="31"/>
    </row>
    <row r="273" spans="1:9" ht="12.75">
      <c r="A273" s="183">
        <v>2.37999887859712</v>
      </c>
      <c r="B273" s="182">
        <v>0.51</v>
      </c>
      <c r="I273" s="31"/>
    </row>
    <row r="274" spans="1:9" ht="12.75">
      <c r="A274" s="183">
        <v>2.38999879233536</v>
      </c>
      <c r="B274" s="182">
        <v>0.51</v>
      </c>
      <c r="I274" s="31"/>
    </row>
    <row r="275" spans="1:9" ht="12.75">
      <c r="A275" s="183">
        <v>2.3999987060736</v>
      </c>
      <c r="B275" s="182">
        <v>0.51</v>
      </c>
      <c r="I275" s="31"/>
    </row>
    <row r="276" spans="1:9" ht="12.75">
      <c r="A276" s="183">
        <v>2.40999861981184</v>
      </c>
      <c r="B276" s="182">
        <v>0.51</v>
      </c>
      <c r="I276" s="31"/>
    </row>
    <row r="277" spans="1:9" ht="12.75">
      <c r="A277" s="183">
        <v>2.41999853355008</v>
      </c>
      <c r="B277" s="182">
        <v>0.51</v>
      </c>
      <c r="I277" s="31"/>
    </row>
    <row r="278" spans="1:9" ht="12.75">
      <c r="A278" s="183">
        <v>2.42999844728832</v>
      </c>
      <c r="B278" s="182">
        <v>0.51</v>
      </c>
      <c r="I278" s="31"/>
    </row>
    <row r="279" spans="1:9" ht="12.75">
      <c r="A279" s="183">
        <v>2.43999836102656</v>
      </c>
      <c r="B279" s="182">
        <v>0.51</v>
      </c>
      <c r="I279" s="31"/>
    </row>
    <row r="280" spans="1:9" ht="12.75">
      <c r="A280" s="183">
        <v>2.4499982747648</v>
      </c>
      <c r="B280" s="182">
        <v>0.51</v>
      </c>
      <c r="I280" s="31"/>
    </row>
    <row r="281" spans="1:9" ht="12.75">
      <c r="A281" s="183">
        <v>2.45999818850304</v>
      </c>
      <c r="B281" s="182">
        <v>0.51</v>
      </c>
      <c r="I281" s="31"/>
    </row>
    <row r="282" spans="1:9" ht="12.75">
      <c r="A282" s="183">
        <v>2.46999810224128</v>
      </c>
      <c r="B282" s="182">
        <v>0.51</v>
      </c>
      <c r="I282" s="31"/>
    </row>
    <row r="283" spans="1:9" ht="12.75">
      <c r="A283" s="183">
        <v>2.47999801597952</v>
      </c>
      <c r="B283" s="182">
        <v>0.51</v>
      </c>
      <c r="I283" s="31"/>
    </row>
    <row r="284" spans="1:9" ht="12.75">
      <c r="A284" s="183">
        <v>2.48999792971776</v>
      </c>
      <c r="B284" s="182">
        <v>0.51</v>
      </c>
      <c r="I284" s="31"/>
    </row>
    <row r="285" spans="1:9" ht="12.75">
      <c r="A285" s="183">
        <v>2.5</v>
      </c>
      <c r="B285" s="182">
        <v>0.51</v>
      </c>
      <c r="I285" s="31"/>
    </row>
    <row r="286" spans="1:9" ht="12.75">
      <c r="A286" s="183">
        <v>2.51000207028224</v>
      </c>
      <c r="B286" s="182">
        <v>0.51</v>
      </c>
      <c r="I286" s="31"/>
    </row>
    <row r="287" spans="1:9" ht="12.75">
      <c r="A287" s="183">
        <v>2.52000414056448</v>
      </c>
      <c r="B287" s="182">
        <v>0.51</v>
      </c>
      <c r="I287" s="31"/>
    </row>
    <row r="288" spans="1:9" ht="12.75">
      <c r="A288" s="183">
        <v>2.53000621084672</v>
      </c>
      <c r="B288" s="182">
        <v>0.51</v>
      </c>
      <c r="I288" s="31"/>
    </row>
    <row r="289" spans="1:9" ht="12.75">
      <c r="A289" s="183">
        <v>2.54000828112896</v>
      </c>
      <c r="B289" s="182">
        <v>0.51</v>
      </c>
      <c r="I289" s="31"/>
    </row>
    <row r="290" spans="1:9" ht="12.75">
      <c r="A290" s="183">
        <v>2.5500103514112</v>
      </c>
      <c r="B290" s="182">
        <v>0.51</v>
      </c>
      <c r="I290" s="31"/>
    </row>
    <row r="291" spans="1:9" ht="12.75">
      <c r="A291" s="183">
        <v>2.56001242169344</v>
      </c>
      <c r="B291" s="182">
        <v>0.51</v>
      </c>
      <c r="I291" s="31"/>
    </row>
    <row r="292" spans="1:9" ht="12.75">
      <c r="A292" s="183">
        <v>2.57001449197568</v>
      </c>
      <c r="B292" s="182">
        <v>0.51</v>
      </c>
      <c r="I292" s="31"/>
    </row>
    <row r="293" spans="1:9" ht="12.75">
      <c r="A293" s="183">
        <v>2.58001656225792</v>
      </c>
      <c r="B293" s="182">
        <v>0.51</v>
      </c>
      <c r="I293" s="31"/>
    </row>
    <row r="294" spans="1:9" ht="12.75">
      <c r="A294" s="183">
        <v>2.59001863254016</v>
      </c>
      <c r="B294" s="182">
        <v>0.51</v>
      </c>
      <c r="I294" s="31"/>
    </row>
    <row r="295" spans="1:9" ht="12.75">
      <c r="A295" s="183">
        <v>2.6000207028224</v>
      </c>
      <c r="B295" s="182">
        <v>0.51</v>
      </c>
      <c r="I295" s="31"/>
    </row>
    <row r="296" spans="1:9" ht="12.75">
      <c r="A296" s="183">
        <v>2.61002277310464</v>
      </c>
      <c r="B296" s="182">
        <v>0.51</v>
      </c>
      <c r="I296" s="31"/>
    </row>
    <row r="297" spans="1:9" ht="12.75">
      <c r="A297" s="183">
        <v>2.62002484338688</v>
      </c>
      <c r="B297" s="182">
        <v>0.51</v>
      </c>
      <c r="I297" s="31"/>
    </row>
    <row r="298" spans="1:9" ht="12.75">
      <c r="A298" s="183">
        <v>2.63002691366912</v>
      </c>
      <c r="B298" s="182">
        <v>0.51</v>
      </c>
      <c r="I298" s="31"/>
    </row>
    <row r="299" spans="1:9" ht="12.75">
      <c r="A299" s="183">
        <v>2.64002898395136</v>
      </c>
      <c r="B299" s="182">
        <v>0.51</v>
      </c>
      <c r="I299" s="31"/>
    </row>
    <row r="300" spans="1:9" ht="12.75">
      <c r="A300" s="183">
        <v>2.6500310542336</v>
      </c>
      <c r="B300" s="182">
        <v>0.51</v>
      </c>
      <c r="I300" s="31"/>
    </row>
    <row r="301" spans="1:9" ht="12.75">
      <c r="A301" s="183">
        <v>2.66003312451584</v>
      </c>
      <c r="B301" s="182">
        <v>0.51</v>
      </c>
      <c r="I301" s="31"/>
    </row>
    <row r="302" spans="1:9" ht="12.75">
      <c r="A302" s="183">
        <v>2.67003519479808</v>
      </c>
      <c r="B302" s="182">
        <v>0.51</v>
      </c>
      <c r="I302" s="31"/>
    </row>
    <row r="303" spans="1:9" ht="12.75">
      <c r="A303" s="183">
        <v>2.68003726508032</v>
      </c>
      <c r="B303" s="182">
        <v>0.51</v>
      </c>
      <c r="I303" s="31"/>
    </row>
    <row r="304" spans="1:9" ht="12.75">
      <c r="A304" s="183">
        <v>2.69003933536256</v>
      </c>
      <c r="B304" s="182">
        <v>0.51</v>
      </c>
      <c r="I304" s="31"/>
    </row>
    <row r="305" spans="1:9" ht="12.75">
      <c r="A305" s="183">
        <v>2.7000414056448</v>
      </c>
      <c r="B305" s="182">
        <v>0.51</v>
      </c>
      <c r="I305" s="31"/>
    </row>
    <row r="306" spans="1:9" ht="12.75">
      <c r="A306" s="183">
        <v>2.71004347592704</v>
      </c>
      <c r="B306" s="182">
        <v>0.51</v>
      </c>
      <c r="I306" s="31"/>
    </row>
    <row r="307" spans="1:9" ht="12.75">
      <c r="A307" s="183">
        <v>2.72004554620928</v>
      </c>
      <c r="B307" s="182">
        <v>0.51</v>
      </c>
      <c r="I307" s="31"/>
    </row>
    <row r="308" spans="1:9" ht="12.75">
      <c r="A308" s="183">
        <v>2.73004761649152</v>
      </c>
      <c r="B308" s="182">
        <v>0.51</v>
      </c>
      <c r="I308" s="31"/>
    </row>
    <row r="309" spans="1:9" ht="12.75">
      <c r="A309" s="183">
        <v>2.74004968677376</v>
      </c>
      <c r="B309" s="182">
        <v>0.51</v>
      </c>
      <c r="I309" s="31"/>
    </row>
    <row r="310" spans="1:9" ht="12.75">
      <c r="A310" s="183">
        <v>2.75</v>
      </c>
      <c r="B310" s="182">
        <v>0.51</v>
      </c>
      <c r="I310" s="31"/>
    </row>
    <row r="311" spans="1:9" ht="12.75">
      <c r="A311" s="183">
        <v>2.75995031322624</v>
      </c>
      <c r="B311" s="182">
        <v>0.51</v>
      </c>
      <c r="I311" s="31"/>
    </row>
    <row r="312" spans="1:9" ht="12.75">
      <c r="A312" s="183">
        <v>2.76990062645248</v>
      </c>
      <c r="B312" s="182">
        <v>0.51</v>
      </c>
      <c r="I312" s="31"/>
    </row>
    <row r="313" spans="1:9" ht="12.75">
      <c r="A313" s="183">
        <v>2.77985093967872</v>
      </c>
      <c r="B313" s="182">
        <v>0.51</v>
      </c>
      <c r="I313" s="31"/>
    </row>
    <row r="314" spans="1:9" ht="12.75">
      <c r="A314" s="183">
        <v>2.78980125290496</v>
      </c>
      <c r="B314" s="182">
        <v>0.51</v>
      </c>
      <c r="I314" s="31"/>
    </row>
    <row r="315" spans="1:9" ht="12.75">
      <c r="A315" s="183">
        <v>2.7997515661312</v>
      </c>
      <c r="B315" s="182">
        <v>0.51</v>
      </c>
      <c r="I315" s="31"/>
    </row>
    <row r="316" spans="1:9" ht="12.75">
      <c r="A316" s="183">
        <v>2.80970187935744</v>
      </c>
      <c r="B316" s="182">
        <v>0.51</v>
      </c>
      <c r="I316" s="31"/>
    </row>
    <row r="317" spans="1:9" ht="12.75">
      <c r="A317" s="183">
        <v>2.81965219258368</v>
      </c>
      <c r="B317" s="182">
        <v>0.51</v>
      </c>
      <c r="I317" s="31"/>
    </row>
    <row r="318" spans="1:9" ht="12.75">
      <c r="A318" s="183">
        <v>2.82960250580992</v>
      </c>
      <c r="B318" s="182">
        <v>0.51</v>
      </c>
      <c r="I318" s="31"/>
    </row>
    <row r="319" spans="1:9" ht="12.75">
      <c r="A319" s="183">
        <v>2.83955281903616</v>
      </c>
      <c r="B319" s="182">
        <v>0.51</v>
      </c>
      <c r="I319" s="31"/>
    </row>
    <row r="320" spans="1:9" ht="12.75">
      <c r="A320" s="183">
        <v>2.8495031322624</v>
      </c>
      <c r="B320" s="182">
        <v>0.51</v>
      </c>
      <c r="I320" s="31"/>
    </row>
    <row r="321" spans="1:9" ht="12.75">
      <c r="A321" s="183">
        <v>2.85945344548864</v>
      </c>
      <c r="B321" s="182">
        <v>0.51</v>
      </c>
      <c r="I321" s="31"/>
    </row>
    <row r="322" spans="1:9" ht="12.75">
      <c r="A322" s="183">
        <v>2.86940375871488</v>
      </c>
      <c r="B322" s="182">
        <v>0.51</v>
      </c>
      <c r="I322" s="31"/>
    </row>
    <row r="323" spans="1:9" ht="12.75">
      <c r="A323" s="183">
        <v>2.87935407194112</v>
      </c>
      <c r="B323" s="182">
        <v>0.51</v>
      </c>
      <c r="I323" s="31"/>
    </row>
    <row r="324" spans="1:9" ht="12.75">
      <c r="A324" s="183">
        <v>2.88930438516736</v>
      </c>
      <c r="B324" s="182">
        <v>0.51</v>
      </c>
      <c r="I324" s="31"/>
    </row>
    <row r="325" spans="1:9" ht="12.75">
      <c r="A325" s="183">
        <v>2.8992546983936</v>
      </c>
      <c r="B325" s="182">
        <v>0.51</v>
      </c>
      <c r="I325" s="31"/>
    </row>
    <row r="326" spans="1:9" ht="12.75">
      <c r="A326" s="183">
        <v>2.90920501161984</v>
      </c>
      <c r="B326" s="182">
        <v>0.51</v>
      </c>
      <c r="I326" s="31"/>
    </row>
    <row r="327" spans="1:9" ht="12.75">
      <c r="A327" s="183">
        <v>2.91915532484608</v>
      </c>
      <c r="B327" s="182">
        <v>0.51</v>
      </c>
      <c r="I327" s="31"/>
    </row>
    <row r="328" spans="1:9" ht="12.75">
      <c r="A328" s="183">
        <v>2.92910563807232</v>
      </c>
      <c r="B328" s="182">
        <v>0.51</v>
      </c>
      <c r="I328" s="31"/>
    </row>
    <row r="329" spans="1:9" ht="12.75">
      <c r="A329" s="183">
        <v>2.93905595129856</v>
      </c>
      <c r="B329" s="182">
        <v>0.51</v>
      </c>
      <c r="I329" s="31"/>
    </row>
    <row r="330" spans="1:9" ht="12.75">
      <c r="A330" s="183">
        <v>2.9490062645248</v>
      </c>
      <c r="B330" s="182">
        <v>0.51</v>
      </c>
      <c r="I330" s="31"/>
    </row>
    <row r="331" spans="1:9" ht="12.75">
      <c r="A331" s="183">
        <v>2.95895657775104</v>
      </c>
      <c r="B331" s="182">
        <v>0.51</v>
      </c>
      <c r="I331" s="31"/>
    </row>
    <row r="332" spans="1:9" ht="12.75">
      <c r="A332" s="183">
        <v>2.96890689097728</v>
      </c>
      <c r="B332" s="182">
        <v>0.51</v>
      </c>
      <c r="I332" s="31"/>
    </row>
    <row r="333" spans="1:9" ht="12.75">
      <c r="A333" s="183">
        <v>2.97885720420352</v>
      </c>
      <c r="B333" s="182">
        <v>0.51</v>
      </c>
      <c r="I333" s="31"/>
    </row>
    <row r="334" spans="1:9" ht="12.75">
      <c r="A334" s="183">
        <v>2.98880751742976</v>
      </c>
      <c r="B334" s="182">
        <v>0.51</v>
      </c>
      <c r="I334" s="31"/>
    </row>
    <row r="335" spans="1:9" ht="12.75">
      <c r="A335" s="183">
        <v>2.998757830656</v>
      </c>
      <c r="B335" s="182">
        <v>0.51</v>
      </c>
      <c r="I335" s="31"/>
    </row>
    <row r="336" spans="1:9" ht="12.75">
      <c r="A336" s="183">
        <v>3.00870814388224</v>
      </c>
      <c r="B336" s="182">
        <v>0.51</v>
      </c>
      <c r="I336" s="31"/>
    </row>
    <row r="337" spans="1:9" ht="12.75">
      <c r="A337" s="183">
        <v>3.01865845710848</v>
      </c>
      <c r="B337" s="182">
        <v>0.51</v>
      </c>
      <c r="I337" s="31"/>
    </row>
    <row r="338" spans="1:9" ht="12.75">
      <c r="A338" s="183">
        <v>3.02860877033472</v>
      </c>
      <c r="B338" s="182">
        <v>0.51</v>
      </c>
      <c r="I338" s="31"/>
    </row>
    <row r="339" spans="1:9" ht="12.75">
      <c r="A339" s="183">
        <v>3.03855908356096</v>
      </c>
      <c r="B339" s="182">
        <v>0.51</v>
      </c>
      <c r="I339" s="31"/>
    </row>
    <row r="340" spans="1:9" ht="12.75">
      <c r="A340" s="183">
        <v>3.0485093967872</v>
      </c>
      <c r="B340" s="182">
        <v>0.51</v>
      </c>
      <c r="I340" s="31"/>
    </row>
    <row r="341" spans="1:9" ht="12.75">
      <c r="A341" s="183">
        <v>3.05845971001344</v>
      </c>
      <c r="B341" s="182">
        <v>0.51</v>
      </c>
      <c r="I341" s="31"/>
    </row>
    <row r="342" spans="1:9" ht="12.75">
      <c r="A342" s="183">
        <v>3.06841002323968</v>
      </c>
      <c r="B342" s="182">
        <v>0.51</v>
      </c>
      <c r="I342" s="31"/>
    </row>
    <row r="343" spans="1:9" ht="12.75">
      <c r="A343" s="183">
        <v>3.07836033646592</v>
      </c>
      <c r="B343" s="182">
        <v>0.51</v>
      </c>
      <c r="I343" s="31"/>
    </row>
    <row r="344" spans="1:9" ht="12.75">
      <c r="A344" s="183">
        <v>3.08831064969216</v>
      </c>
      <c r="B344" s="182">
        <v>0.51</v>
      </c>
      <c r="I344" s="31"/>
    </row>
    <row r="345" spans="1:9" ht="12.75">
      <c r="A345" s="183">
        <v>3.0982609629184</v>
      </c>
      <c r="B345" s="182">
        <v>0.51</v>
      </c>
      <c r="I345" s="31"/>
    </row>
    <row r="346" spans="1:9" ht="12.75">
      <c r="A346" s="183">
        <v>3.10821127614464</v>
      </c>
      <c r="B346" s="182">
        <v>0.51</v>
      </c>
      <c r="I346" s="31"/>
    </row>
    <row r="347" spans="1:9" ht="12.75">
      <c r="A347" s="183">
        <v>3.11816158937088</v>
      </c>
      <c r="B347" s="182">
        <v>0.51</v>
      </c>
      <c r="I347" s="31"/>
    </row>
    <row r="348" spans="1:9" ht="12.75">
      <c r="A348" s="183">
        <v>3.12811190259712</v>
      </c>
      <c r="B348" s="182">
        <v>0.51</v>
      </c>
      <c r="I348" s="31"/>
    </row>
    <row r="349" spans="1:9" ht="12.75">
      <c r="A349" s="183">
        <v>3.13806221582336</v>
      </c>
      <c r="B349" s="182">
        <v>0.51</v>
      </c>
      <c r="I349" s="31"/>
    </row>
    <row r="350" spans="1:9" ht="12.75">
      <c r="A350" s="183">
        <v>3.1480125290496</v>
      </c>
      <c r="B350" s="182">
        <v>0.51</v>
      </c>
      <c r="I350" s="31"/>
    </row>
    <row r="351" spans="1:9" ht="12.75">
      <c r="A351" s="184"/>
      <c r="B351" s="142"/>
      <c r="I351" s="31"/>
    </row>
    <row r="352" ht="12.75">
      <c r="I352" s="31"/>
    </row>
    <row r="353" ht="12.75">
      <c r="I353" s="31"/>
    </row>
    <row r="354" ht="12.75">
      <c r="I354" s="31"/>
    </row>
    <row r="355" ht="12.75">
      <c r="I355" s="31"/>
    </row>
    <row r="356" ht="12.75">
      <c r="I356" s="31"/>
    </row>
    <row r="357" ht="12.75">
      <c r="I357" s="31"/>
    </row>
    <row r="358" ht="12.75">
      <c r="I358" s="31"/>
    </row>
    <row r="359" ht="12.75">
      <c r="I359" s="31"/>
    </row>
    <row r="360" ht="12.75">
      <c r="I360" s="31"/>
    </row>
    <row r="361" ht="12.75">
      <c r="I361" s="31"/>
    </row>
    <row r="362" ht="12.75">
      <c r="I362" s="31"/>
    </row>
    <row r="363" ht="12.75">
      <c r="I363" s="31"/>
    </row>
    <row r="364" ht="12.75">
      <c r="I364" s="31"/>
    </row>
    <row r="365" ht="12.75">
      <c r="I365" s="31"/>
    </row>
    <row r="366" ht="12.75">
      <c r="I366" s="31"/>
    </row>
    <row r="367" ht="12.75">
      <c r="I367" s="31"/>
    </row>
    <row r="368" ht="12.75">
      <c r="I368" s="31"/>
    </row>
    <row r="369" ht="12.75">
      <c r="I369" s="31"/>
    </row>
    <row r="370" ht="12.75">
      <c r="I370" s="31"/>
    </row>
    <row r="371" ht="12.75">
      <c r="I371" s="31"/>
    </row>
    <row r="372" ht="12.75">
      <c r="I372" s="31"/>
    </row>
    <row r="373" ht="12.75">
      <c r="I373" s="31"/>
    </row>
    <row r="374" ht="12.75">
      <c r="I374" s="31"/>
    </row>
    <row r="375" ht="12.75">
      <c r="I375" s="31"/>
    </row>
    <row r="376" ht="12.75">
      <c r="I376" s="31"/>
    </row>
    <row r="377" ht="12.75">
      <c r="I377" s="31"/>
    </row>
    <row r="378" ht="12.75">
      <c r="I378" s="31"/>
    </row>
    <row r="379" ht="12.75">
      <c r="I379" s="31"/>
    </row>
    <row r="380" ht="12.75">
      <c r="I380" s="31"/>
    </row>
    <row r="381" ht="12.75">
      <c r="I381" s="31"/>
    </row>
    <row r="382" ht="12.75">
      <c r="I382" s="31"/>
    </row>
    <row r="383" ht="12.75">
      <c r="I383" s="31"/>
    </row>
    <row r="384" ht="12.75">
      <c r="I384" s="31"/>
    </row>
    <row r="385" ht="12.75">
      <c r="I385" s="31"/>
    </row>
    <row r="386" ht="12.75">
      <c r="I386" s="31"/>
    </row>
    <row r="387" ht="12.75">
      <c r="I387" s="31"/>
    </row>
    <row r="388" ht="12.75">
      <c r="I388" s="31"/>
    </row>
    <row r="389" ht="12.75">
      <c r="I389" s="31"/>
    </row>
    <row r="390" ht="12.75">
      <c r="I390" s="31"/>
    </row>
    <row r="391" ht="12.75">
      <c r="I391" s="31"/>
    </row>
    <row r="392" ht="12.75">
      <c r="I392" s="31"/>
    </row>
    <row r="393" ht="12.75">
      <c r="I393" s="31"/>
    </row>
    <row r="394" ht="12.75">
      <c r="I394" s="31"/>
    </row>
    <row r="395" ht="12.75">
      <c r="I395" s="31"/>
    </row>
    <row r="396" ht="12.75">
      <c r="I396" s="31"/>
    </row>
    <row r="397" ht="12.75">
      <c r="I397" s="31"/>
    </row>
    <row r="398" ht="12.75">
      <c r="I398" s="31"/>
    </row>
    <row r="399" ht="12.75">
      <c r="I399" s="31"/>
    </row>
    <row r="400" ht="12.75">
      <c r="I400" s="31"/>
    </row>
    <row r="401" ht="12.75">
      <c r="I401" s="31"/>
    </row>
    <row r="402" ht="12.75">
      <c r="I402" s="31"/>
    </row>
    <row r="403" ht="12.75">
      <c r="I403" s="31"/>
    </row>
    <row r="404" ht="12.75">
      <c r="I404" s="31"/>
    </row>
    <row r="405" ht="12.75">
      <c r="I405" s="31"/>
    </row>
    <row r="406" ht="12.75">
      <c r="I406" s="31"/>
    </row>
    <row r="407" ht="12.75">
      <c r="I407" s="31"/>
    </row>
    <row r="408" ht="12.75">
      <c r="I408" s="31"/>
    </row>
    <row r="409" ht="12.75">
      <c r="I409" s="31"/>
    </row>
    <row r="410" ht="12.75">
      <c r="I410" s="31"/>
    </row>
    <row r="411" ht="12.75">
      <c r="I411" s="31"/>
    </row>
    <row r="412" ht="12.75">
      <c r="I412" s="31"/>
    </row>
    <row r="413" ht="12.75">
      <c r="I413" s="31"/>
    </row>
    <row r="414" ht="12.75">
      <c r="I414" s="31"/>
    </row>
    <row r="415" ht="12.75">
      <c r="I415" s="31"/>
    </row>
    <row r="416" ht="12.75">
      <c r="I416" s="31"/>
    </row>
    <row r="417" ht="12.75">
      <c r="I417" s="31"/>
    </row>
    <row r="418" ht="12.75">
      <c r="I418" s="31"/>
    </row>
    <row r="419" ht="12.75">
      <c r="I419" s="31"/>
    </row>
    <row r="420" ht="12.75">
      <c r="I420" s="31"/>
    </row>
    <row r="421" ht="12.75">
      <c r="I421" s="31"/>
    </row>
    <row r="422" ht="12.75">
      <c r="I422" s="31"/>
    </row>
    <row r="423" ht="12.75">
      <c r="I423" s="31"/>
    </row>
    <row r="424" ht="12.75">
      <c r="I424" s="31"/>
    </row>
    <row r="425" ht="12.75">
      <c r="I425" s="31"/>
    </row>
    <row r="426" ht="12.75">
      <c r="I426" s="31"/>
    </row>
    <row r="427" ht="12.75">
      <c r="I427" s="31"/>
    </row>
    <row r="428" ht="12.75">
      <c r="I428" s="31"/>
    </row>
    <row r="429" ht="12.75">
      <c r="I429" s="31"/>
    </row>
    <row r="430" ht="12.75">
      <c r="I430" s="31"/>
    </row>
    <row r="431" ht="12.75">
      <c r="I431" s="31"/>
    </row>
    <row r="432" ht="12.75">
      <c r="I432" s="31"/>
    </row>
    <row r="433" ht="12.75">
      <c r="I433" s="31"/>
    </row>
    <row r="434" ht="12.75">
      <c r="I434" s="31"/>
    </row>
    <row r="435" ht="12.75">
      <c r="I435" s="31"/>
    </row>
    <row r="436" ht="12.75">
      <c r="I436" s="31"/>
    </row>
    <row r="437" ht="12.75">
      <c r="I437" s="31"/>
    </row>
    <row r="438" ht="12.75">
      <c r="I438" s="31"/>
    </row>
    <row r="439" ht="12.75">
      <c r="I439" s="31"/>
    </row>
    <row r="440" ht="12.75">
      <c r="I440" s="31"/>
    </row>
    <row r="441" ht="12.75">
      <c r="I441" s="31"/>
    </row>
    <row r="442" ht="12.75">
      <c r="I442" s="31"/>
    </row>
    <row r="443" ht="12.75">
      <c r="I443" s="31"/>
    </row>
    <row r="444" ht="12.75">
      <c r="I444" s="31"/>
    </row>
    <row r="445" ht="12.75">
      <c r="I445" s="31"/>
    </row>
    <row r="446" ht="12.75">
      <c r="I446" s="31"/>
    </row>
    <row r="447" ht="12.75">
      <c r="I447" s="31"/>
    </row>
    <row r="448" ht="12.75">
      <c r="I448" s="31"/>
    </row>
    <row r="449" ht="12.75">
      <c r="I449" s="31"/>
    </row>
    <row r="450" ht="12.75">
      <c r="I450" s="31"/>
    </row>
    <row r="451" ht="12.75">
      <c r="I451" s="31"/>
    </row>
    <row r="452" ht="12.75">
      <c r="I452" s="31"/>
    </row>
    <row r="453" ht="12.75">
      <c r="I453" s="31"/>
    </row>
    <row r="454" ht="12.75">
      <c r="I454" s="31"/>
    </row>
    <row r="455" ht="12.75">
      <c r="I455" s="31"/>
    </row>
    <row r="456" ht="12.75">
      <c r="I456" s="31"/>
    </row>
    <row r="457" ht="12.75">
      <c r="I457" s="31"/>
    </row>
    <row r="458" ht="12.75">
      <c r="I458" s="31"/>
    </row>
    <row r="459" ht="12.75">
      <c r="I459" s="31"/>
    </row>
    <row r="460" ht="12.75">
      <c r="I460" s="31"/>
    </row>
    <row r="461" ht="12.75">
      <c r="I461" s="31"/>
    </row>
    <row r="462" ht="12.75">
      <c r="I462" s="31"/>
    </row>
    <row r="463" ht="12.75">
      <c r="I463" s="31"/>
    </row>
    <row r="464" ht="12.75">
      <c r="I464" s="31"/>
    </row>
    <row r="465" ht="12.75">
      <c r="I465" s="31"/>
    </row>
    <row r="466" ht="12.75">
      <c r="I466" s="31"/>
    </row>
    <row r="467" ht="12.75">
      <c r="I467" s="31"/>
    </row>
    <row r="468" ht="12.75">
      <c r="I468" s="31"/>
    </row>
    <row r="469" ht="12.75">
      <c r="I469" s="31"/>
    </row>
    <row r="470" ht="12.75">
      <c r="I470" s="31"/>
    </row>
    <row r="471" ht="12.75">
      <c r="I471" s="31"/>
    </row>
    <row r="472" ht="12.75">
      <c r="I472" s="31"/>
    </row>
    <row r="473" ht="12.75">
      <c r="I473" s="31"/>
    </row>
    <row r="474" ht="12.75">
      <c r="I474" s="31"/>
    </row>
    <row r="475" ht="12.75">
      <c r="I475" s="31"/>
    </row>
    <row r="476" ht="12.75">
      <c r="I476" s="31"/>
    </row>
    <row r="477" ht="12.75">
      <c r="I477" s="31"/>
    </row>
    <row r="478" ht="12.75">
      <c r="I478" s="31"/>
    </row>
    <row r="479" ht="12.75">
      <c r="I479" s="31"/>
    </row>
    <row r="480" ht="12.75">
      <c r="I480" s="31"/>
    </row>
    <row r="481" ht="12.75">
      <c r="I481" s="31"/>
    </row>
    <row r="482" ht="12.75">
      <c r="I482" s="31"/>
    </row>
    <row r="483" ht="12.75">
      <c r="I483" s="31"/>
    </row>
    <row r="484" ht="12.75">
      <c r="I484" s="31"/>
    </row>
    <row r="485" ht="12.75">
      <c r="I485" s="31"/>
    </row>
    <row r="486" ht="12.75">
      <c r="I486" s="31"/>
    </row>
    <row r="487" ht="12.75">
      <c r="I487" s="31"/>
    </row>
    <row r="488" ht="12.75">
      <c r="I488" s="31"/>
    </row>
    <row r="489" ht="12.75">
      <c r="I489" s="31"/>
    </row>
    <row r="490" ht="12.75">
      <c r="I490" s="31"/>
    </row>
    <row r="491" ht="12.75">
      <c r="I491" s="31"/>
    </row>
    <row r="492" ht="12.75">
      <c r="I492" s="31"/>
    </row>
    <row r="493" ht="12.75">
      <c r="I493" s="31"/>
    </row>
    <row r="494" ht="12.75">
      <c r="I494" s="31"/>
    </row>
    <row r="495" ht="12.75">
      <c r="I495" s="31"/>
    </row>
    <row r="496" ht="12.75">
      <c r="I496" s="31"/>
    </row>
    <row r="497" ht="12.75">
      <c r="I497" s="31"/>
    </row>
    <row r="498" ht="12.75">
      <c r="I498" s="31"/>
    </row>
    <row r="499" ht="12.75">
      <c r="I499" s="31"/>
    </row>
    <row r="500" ht="12.75">
      <c r="I500" s="31"/>
    </row>
    <row r="501" ht="12.75">
      <c r="I501" s="31"/>
    </row>
    <row r="502" ht="12.75">
      <c r="I502" s="31"/>
    </row>
    <row r="503" ht="12.75">
      <c r="I503" s="31"/>
    </row>
    <row r="504" ht="12.75">
      <c r="I504" s="31"/>
    </row>
    <row r="505" ht="12.75">
      <c r="I505" s="31"/>
    </row>
    <row r="506" ht="12.75">
      <c r="I506" s="31"/>
    </row>
    <row r="507" ht="12.75">
      <c r="I507" s="31"/>
    </row>
    <row r="508" ht="12.75">
      <c r="I508" s="31"/>
    </row>
    <row r="509" ht="12.75">
      <c r="I509" s="31"/>
    </row>
    <row r="510" ht="12.75">
      <c r="I510" s="31"/>
    </row>
    <row r="511" ht="12.75">
      <c r="I511" s="31"/>
    </row>
    <row r="512" ht="12.75">
      <c r="I512" s="31"/>
    </row>
    <row r="513" ht="12.75">
      <c r="I513" s="31"/>
    </row>
    <row r="514" ht="12.75">
      <c r="I514" s="31"/>
    </row>
    <row r="515" ht="12.75">
      <c r="I515" s="31"/>
    </row>
    <row r="516" ht="12.75">
      <c r="I516" s="31"/>
    </row>
  </sheetData>
  <sheetProtection/>
  <mergeCells count="114">
    <mergeCell ref="A4:B4"/>
    <mergeCell ref="A5:B5"/>
    <mergeCell ref="A1:H1"/>
    <mergeCell ref="J1:S1"/>
    <mergeCell ref="A2:B2"/>
    <mergeCell ref="A3:B3"/>
    <mergeCell ref="A6:A9"/>
    <mergeCell ref="J6:R7"/>
    <mergeCell ref="J8:J9"/>
    <mergeCell ref="K8:N8"/>
    <mergeCell ref="O8:R8"/>
    <mergeCell ref="K9:L9"/>
    <mergeCell ref="M9:N9"/>
    <mergeCell ref="O9:P9"/>
    <mergeCell ref="Q9:R9"/>
    <mergeCell ref="Q10:R10"/>
    <mergeCell ref="K11:L11"/>
    <mergeCell ref="M11:N11"/>
    <mergeCell ref="O11:P11"/>
    <mergeCell ref="Q11:R11"/>
    <mergeCell ref="A10:A13"/>
    <mergeCell ref="K10:L10"/>
    <mergeCell ref="M10:N10"/>
    <mergeCell ref="O10:P10"/>
    <mergeCell ref="K12:L12"/>
    <mergeCell ref="M12:N12"/>
    <mergeCell ref="O12:P12"/>
    <mergeCell ref="Q12:R12"/>
    <mergeCell ref="K13:L13"/>
    <mergeCell ref="M13:N13"/>
    <mergeCell ref="O13:P13"/>
    <mergeCell ref="Q13:R13"/>
    <mergeCell ref="Q14:R14"/>
    <mergeCell ref="K15:L15"/>
    <mergeCell ref="M15:N15"/>
    <mergeCell ref="O15:P15"/>
    <mergeCell ref="Q15:R15"/>
    <mergeCell ref="T17:T18"/>
    <mergeCell ref="A18:A21"/>
    <mergeCell ref="K18:L18"/>
    <mergeCell ref="T19:T20"/>
    <mergeCell ref="T21:T22"/>
    <mergeCell ref="S15:S26"/>
    <mergeCell ref="A14:A17"/>
    <mergeCell ref="K14:L14"/>
    <mergeCell ref="M14:N14"/>
    <mergeCell ref="O14:P14"/>
    <mergeCell ref="K17:L17"/>
    <mergeCell ref="M17:N17"/>
    <mergeCell ref="O17:P17"/>
    <mergeCell ref="Q17:R17"/>
    <mergeCell ref="A23:H23"/>
    <mergeCell ref="T23:T24"/>
    <mergeCell ref="A24:B24"/>
    <mergeCell ref="C24:H24"/>
    <mergeCell ref="J24:R24"/>
    <mergeCell ref="T15:T16"/>
    <mergeCell ref="K16:L16"/>
    <mergeCell ref="M16:N16"/>
    <mergeCell ref="O16:P16"/>
    <mergeCell ref="Q16:R16"/>
    <mergeCell ref="A25:B25"/>
    <mergeCell ref="J25:J27"/>
    <mergeCell ref="K25:N25"/>
    <mergeCell ref="O25:R26"/>
    <mergeCell ref="A26:B26"/>
    <mergeCell ref="K26:L26"/>
    <mergeCell ref="M26:N26"/>
    <mergeCell ref="AD26:AE26"/>
    <mergeCell ref="AF26:AG26"/>
    <mergeCell ref="AH26:AI26"/>
    <mergeCell ref="A27:B27"/>
    <mergeCell ref="O27:P27"/>
    <mergeCell ref="Q27:R27"/>
    <mergeCell ref="V26:W26"/>
    <mergeCell ref="X26:Y26"/>
    <mergeCell ref="Z26:AA26"/>
    <mergeCell ref="AB26:AC26"/>
    <mergeCell ref="A28:B28"/>
    <mergeCell ref="O28:P28"/>
    <mergeCell ref="Q28:R28"/>
    <mergeCell ref="A29:B29"/>
    <mergeCell ref="O29:P29"/>
    <mergeCell ref="Q29:R29"/>
    <mergeCell ref="A30:B30"/>
    <mergeCell ref="O30:P30"/>
    <mergeCell ref="Q30:R30"/>
    <mergeCell ref="A31:B31"/>
    <mergeCell ref="O31:P31"/>
    <mergeCell ref="Q31:R31"/>
    <mergeCell ref="A32:B32"/>
    <mergeCell ref="O32:P32"/>
    <mergeCell ref="Q32:R32"/>
    <mergeCell ref="A33:B33"/>
    <mergeCell ref="O33:P33"/>
    <mergeCell ref="Q33:R33"/>
    <mergeCell ref="A34:B34"/>
    <mergeCell ref="O34:P34"/>
    <mergeCell ref="Q34:R34"/>
    <mergeCell ref="A35:B35"/>
    <mergeCell ref="O35:P35"/>
    <mergeCell ref="Q35:R35"/>
    <mergeCell ref="Q36:R36"/>
    <mergeCell ref="A37:B37"/>
    <mergeCell ref="A38:B38"/>
    <mergeCell ref="A40:H40"/>
    <mergeCell ref="B48:B49"/>
    <mergeCell ref="C48:C49"/>
    <mergeCell ref="A36:B36"/>
    <mergeCell ref="O36:P36"/>
    <mergeCell ref="A42:B42"/>
    <mergeCell ref="A43:B43"/>
    <mergeCell ref="A47:B47"/>
    <mergeCell ref="C47:D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Stair case </dc:title>
  <dc:subject>stair case with central stringer beam</dc:subject>
  <dc:creator>pk_nandwana@yahoo.co.in</dc:creator>
  <cp:keywords/>
  <dc:description/>
  <cp:lastModifiedBy>india2world@ymail.com</cp:lastModifiedBy>
  <cp:lastPrinted>2010-09-12T11:44:34Z</cp:lastPrinted>
  <dcterms:created xsi:type="dcterms:W3CDTF">1996-10-14T23:33:28Z</dcterms:created>
  <dcterms:modified xsi:type="dcterms:W3CDTF">2011-09-07T12:00:34Z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