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heet1" sheetId="1" r:id="rId1"/>
    <sheet name="Combined Foundation" sheetId="2" r:id="rId2"/>
  </sheets>
  <externalReferences>
    <externalReference r:id="rId5"/>
    <externalReference r:id="rId6"/>
    <externalReference r:id="rId7"/>
    <externalReference r:id="rId8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W">#REF!</definedName>
    <definedName name="_Fill" hidden="1">#REF!</definedName>
    <definedName name="a">#REF!</definedName>
    <definedName name="Afv">'[3]Foundation Design F2'!$E$200</definedName>
    <definedName name="b">#REF!</definedName>
    <definedName name="Biaxial">#REF!</definedName>
    <definedName name="bo">'[3]Foundation Design F2'!$E$203</definedName>
    <definedName name="Cp">#REF!</definedName>
    <definedName name="d">#REF!</definedName>
    <definedName name="Dc">#REF!</definedName>
    <definedName name="DP">#REF!</definedName>
    <definedName name="DS">#REF!</definedName>
    <definedName name="e">#REF!</definedName>
    <definedName name="F">#REF!</definedName>
    <definedName name="fc">#REF!</definedName>
    <definedName name="FcC">'[3]Foundation Design F2'!$D$31</definedName>
    <definedName name="fcc1">#REF!</definedName>
    <definedName name="fck">#REF!</definedName>
    <definedName name="hi">#REF!</definedName>
    <definedName name="hj">#REF!</definedName>
    <definedName name="kiran">#REF!</definedName>
    <definedName name="l">#REF!</definedName>
    <definedName name="lp">#REF!</definedName>
    <definedName name="maz">#REF!</definedName>
    <definedName name="OUT1">#REF!</definedName>
    <definedName name="OUT2">#REF!</definedName>
    <definedName name="OUT3">#REF!</definedName>
    <definedName name="OUT4">#REF!</definedName>
    <definedName name="OUT5">#REF!</definedName>
    <definedName name="_xlnm.Print_Area" localSheetId="1">'Combined Foundation'!$A$1:$M$487</definedName>
    <definedName name="PRINT_AREA_MI">#REF!</definedName>
    <definedName name="PRINT_AREA_MI1">#REF!</definedName>
    <definedName name="PRINT_TITLES_MI">#REF!</definedName>
    <definedName name="PUC">#REF!</definedName>
    <definedName name="SBC">#REF!</definedName>
    <definedName name="t">#REF!</definedName>
    <definedName name="TF">#REF!</definedName>
    <definedName name="th">#REF!</definedName>
    <definedName name="Uniaxial">#REF!</definedName>
    <definedName name="v">#REF!</definedName>
    <definedName name="w">#REF!</definedName>
    <definedName name="wp">#REF!</definedName>
  </definedNames>
  <calcPr fullCalcOnLoad="1"/>
</workbook>
</file>

<file path=xl/sharedStrings.xml><?xml version="1.0" encoding="utf-8"?>
<sst xmlns="http://schemas.openxmlformats.org/spreadsheetml/2006/main" count="575" uniqueCount="262">
  <si>
    <t>FGL</t>
  </si>
  <si>
    <t>Unit Wt Of Soil =</t>
  </si>
  <si>
    <r>
      <t>T/m</t>
    </r>
    <r>
      <rPr>
        <vertAlign val="superscript"/>
        <sz val="10"/>
        <rFont val="Times New Roman"/>
        <family val="1"/>
      </rPr>
      <t>3</t>
    </r>
  </si>
  <si>
    <t>Density Of Water =</t>
  </si>
  <si>
    <t>Unit Weight Of Concrete =</t>
  </si>
  <si>
    <t xml:space="preserve">Comp. strength of concrete fc = </t>
  </si>
  <si>
    <r>
      <t xml:space="preserve"> N/mm</t>
    </r>
    <r>
      <rPr>
        <vertAlign val="superscript"/>
        <sz val="10"/>
        <rFont val="Times New Roman"/>
        <family val="1"/>
      </rPr>
      <t>2</t>
    </r>
  </si>
  <si>
    <t xml:space="preserve">Yield  strength of steel fy = </t>
  </si>
  <si>
    <t>Net SBC =</t>
  </si>
  <si>
    <r>
      <t>T/m</t>
    </r>
    <r>
      <rPr>
        <vertAlign val="superscript"/>
        <sz val="10"/>
        <rFont val="Times New Roman"/>
        <family val="1"/>
      </rPr>
      <t>2</t>
    </r>
  </si>
  <si>
    <t>Gross SBC =</t>
  </si>
  <si>
    <t>m</t>
  </si>
  <si>
    <t>`</t>
  </si>
  <si>
    <t>Selfweight Of Foundation =</t>
  </si>
  <si>
    <t>=</t>
  </si>
  <si>
    <t>T</t>
  </si>
  <si>
    <t>Buoyant selfweight Of Foundation =</t>
  </si>
  <si>
    <t>Selfweight Of Soil =</t>
  </si>
  <si>
    <t>Buyoant selfweight Of Soil =</t>
  </si>
  <si>
    <t>Selfweight Of Pedestal =</t>
  </si>
  <si>
    <t>Buoyant selfweight Of Pedestal =</t>
  </si>
  <si>
    <t>Total weight without buoyancy =</t>
  </si>
  <si>
    <t>Total weight with buoyancy =</t>
  </si>
  <si>
    <t>Load On Column A1:- (At Founding Level)</t>
  </si>
  <si>
    <t>Col. No.</t>
  </si>
  <si>
    <t>Comb No.</t>
  </si>
  <si>
    <t>Load Combination</t>
  </si>
  <si>
    <t>FORCE-X</t>
  </si>
  <si>
    <t>FORCE-Y</t>
  </si>
  <si>
    <t>FORCE-Z</t>
  </si>
  <si>
    <t>MOM-X</t>
  </si>
  <si>
    <t>MOM-Y</t>
  </si>
  <si>
    <t>MOM Z</t>
  </si>
  <si>
    <t>Load On Column A2:- (At Founding Level)</t>
  </si>
  <si>
    <t>Load On Column B1:- (At Founding Level)</t>
  </si>
  <si>
    <t>Load On Column B2:- (At Founding Level)</t>
  </si>
  <si>
    <t>JOINT</t>
  </si>
  <si>
    <t>LOAD</t>
  </si>
  <si>
    <t>Moment On C.G :</t>
  </si>
  <si>
    <t>Due to Fy</t>
  </si>
  <si>
    <t>FX</t>
  </si>
  <si>
    <t>FY</t>
  </si>
  <si>
    <t>FZ</t>
  </si>
  <si>
    <t>MX</t>
  </si>
  <si>
    <t>MY</t>
  </si>
  <si>
    <t>MZ</t>
  </si>
  <si>
    <t>-</t>
  </si>
  <si>
    <t>Total Reactions On foundation:</t>
  </si>
  <si>
    <t>TOTAL</t>
  </si>
  <si>
    <t>Mxx1</t>
  </si>
  <si>
    <t>Mxx2</t>
  </si>
  <si>
    <t>Mxx</t>
  </si>
  <si>
    <t>Mzz1</t>
  </si>
  <si>
    <t>Mzz2</t>
  </si>
  <si>
    <t>Mzz</t>
  </si>
  <si>
    <t>due to FY</t>
  </si>
  <si>
    <t>External</t>
  </si>
  <si>
    <t>Mxx1+Mxx2</t>
  </si>
  <si>
    <t>Mzz1+Mzz2</t>
  </si>
  <si>
    <t>Check For stability :-</t>
  </si>
  <si>
    <t>a) Against Overturing :- (Check is done only for with buoyancy case)</t>
  </si>
  <si>
    <t>It is ensured that all the four corners of foundation are in compression for all the load cases.</t>
  </si>
  <si>
    <t>This means foundation will not loose contact and safe against overturning.</t>
  </si>
  <si>
    <t>b) Against Sliding :- (Check is done only for with buoyancy case)</t>
  </si>
  <si>
    <t>Total Sliding Forces</t>
  </si>
  <si>
    <t>Restoring Forces</t>
  </si>
  <si>
    <t xml:space="preserve">Load </t>
  </si>
  <si>
    <t>Fx</t>
  </si>
  <si>
    <t>Fz</t>
  </si>
  <si>
    <t>Resultant</t>
  </si>
  <si>
    <t>Soil,Fdn,</t>
  </si>
  <si>
    <t>Total</t>
  </si>
  <si>
    <t>0.5*
(1+2)</t>
  </si>
  <si>
    <t>F.O.S.</t>
  </si>
  <si>
    <t>Result</t>
  </si>
  <si>
    <t>Load</t>
  </si>
  <si>
    <t>Pedestal</t>
  </si>
  <si>
    <t>1+2</t>
  </si>
  <si>
    <t>Check For Bearing Preasure:</t>
  </si>
  <si>
    <t>Check For Pressure At All The Corners (With Buoyancy)</t>
  </si>
  <si>
    <t>Fy From</t>
  </si>
  <si>
    <t>Soil+ Fdn</t>
  </si>
  <si>
    <t>Fy</t>
  </si>
  <si>
    <t>Fy/A</t>
  </si>
  <si>
    <t>Mxx/Zxx</t>
  </si>
  <si>
    <t>Mzz/Zzz</t>
  </si>
  <si>
    <t>1+2-3</t>
  </si>
  <si>
    <t>1+2+3</t>
  </si>
  <si>
    <t>1-2+3</t>
  </si>
  <si>
    <t>1-2-3</t>
  </si>
  <si>
    <t>+Ped</t>
  </si>
  <si>
    <t>pmax     =</t>
  </si>
  <si>
    <t xml:space="preserve">   t/sqm</t>
  </si>
  <si>
    <t>pmin     =</t>
  </si>
  <si>
    <t>Check For Pressure At All The Corners (With0ut Buoyancy)</t>
  </si>
  <si>
    <t xml:space="preserve"> CALCULATION FOR LOSS OF CONTACT AREA :</t>
  </si>
  <si>
    <t>4Cx</t>
  </si>
  <si>
    <t>B=</t>
  </si>
  <si>
    <t>4Cy</t>
  </si>
  <si>
    <t>L =</t>
  </si>
  <si>
    <t xml:space="preserve">Depth of foundation below F.G.L </t>
  </si>
  <si>
    <t>M</t>
  </si>
  <si>
    <t>Length of foundation</t>
  </si>
  <si>
    <t>(L)</t>
  </si>
  <si>
    <t>Width of foundation</t>
  </si>
  <si>
    <t>(B)</t>
  </si>
  <si>
    <t>Total vertical load on foundation</t>
  </si>
  <si>
    <t>(P)</t>
  </si>
  <si>
    <t>Moment about X axis</t>
  </si>
  <si>
    <t>(Mx)</t>
  </si>
  <si>
    <t>T-m</t>
  </si>
  <si>
    <t xml:space="preserve">Momoent about Y axis </t>
  </si>
  <si>
    <t>(My)</t>
  </si>
  <si>
    <t>Area = L x B</t>
  </si>
  <si>
    <t>(A)</t>
  </si>
  <si>
    <t xml:space="preserve">(Zxx) </t>
  </si>
  <si>
    <t>(Zyy)</t>
  </si>
  <si>
    <t>ex = My / P</t>
  </si>
  <si>
    <t>L / 6 =</t>
  </si>
  <si>
    <t>ey = Mx / P</t>
  </si>
  <si>
    <t>B / 6 =</t>
  </si>
  <si>
    <t>Cx</t>
  </si>
  <si>
    <t xml:space="preserve"> </t>
  </si>
  <si>
    <t>Cy</t>
  </si>
  <si>
    <t>P min = (P / A) - (Mx / Zxx) - (My / Zyy)</t>
  </si>
  <si>
    <t>T/m2</t>
  </si>
  <si>
    <t>Maximum edge pressure =</t>
  </si>
  <si>
    <t>Safe bearing capacity =</t>
  </si>
  <si>
    <t>Allowable gross bearing capacity =</t>
  </si>
  <si>
    <t>Calculation for loss of contact area</t>
  </si>
  <si>
    <t>% Loss of contact area =</t>
  </si>
  <si>
    <t>%</t>
  </si>
  <si>
    <t>Check For Shear</t>
  </si>
  <si>
    <t>a) Two Way Shear</t>
  </si>
  <si>
    <t>Limit State Method</t>
  </si>
  <si>
    <t>Critical Section =</t>
  </si>
  <si>
    <t>At distance d/2 from face of column</t>
  </si>
  <si>
    <t>Concrete Grade =</t>
  </si>
  <si>
    <t xml:space="preserve">Column Details </t>
  </si>
  <si>
    <t>Length =</t>
  </si>
  <si>
    <t>mm</t>
  </si>
  <si>
    <t>Width =</t>
  </si>
  <si>
    <t xml:space="preserve">Foundation Details </t>
  </si>
  <si>
    <t>Effective Depth =</t>
  </si>
  <si>
    <t>Percentage Of Steel =</t>
  </si>
  <si>
    <t>Punching Load</t>
  </si>
  <si>
    <t>Punching Shear =</t>
  </si>
  <si>
    <t>P =</t>
  </si>
  <si>
    <t>Ton</t>
  </si>
  <si>
    <t>Shear Resistance Of Concrete (Vc)</t>
  </si>
  <si>
    <t>vc x bc x d -----Refer to clause no. 31.6.3.1 of IS 456</t>
  </si>
  <si>
    <r>
      <t>where</t>
    </r>
    <r>
      <rPr>
        <sz val="10"/>
        <rFont val="Arial"/>
        <family val="0"/>
      </rPr>
      <t xml:space="preserve"> vc =</t>
    </r>
  </si>
  <si>
    <t>-----should not be greater than 1</t>
  </si>
  <si>
    <t>Short Side Of Column</t>
  </si>
  <si>
    <t>Long Side Of Column</t>
  </si>
  <si>
    <t>bc =</t>
  </si>
  <si>
    <t>Appropriate perimeter at distance d/2</t>
  </si>
  <si>
    <t>Length of critical section =</t>
  </si>
  <si>
    <t>Width of critical section =</t>
  </si>
  <si>
    <t>Perimeter of critical section =</t>
  </si>
  <si>
    <t>Depth Required =</t>
  </si>
  <si>
    <t>Shear Resistance =</t>
  </si>
  <si>
    <t xml:space="preserve">B) One Way Shear </t>
  </si>
  <si>
    <t>At distance d from face of column</t>
  </si>
  <si>
    <t>Maximum Pressure =</t>
  </si>
  <si>
    <t>---- For without Buoynacy Condition</t>
  </si>
  <si>
    <t>At Length</t>
  </si>
  <si>
    <t>Length at critical section =</t>
  </si>
  <si>
    <t>Width at critical section =</t>
  </si>
  <si>
    <t>Shear Force =</t>
  </si>
  <si>
    <t>At Width</t>
  </si>
  <si>
    <t>Designed Shear Stress =</t>
  </si>
  <si>
    <t>Corresponding Length =</t>
  </si>
  <si>
    <t>Allowable Shear Stress =</t>
  </si>
  <si>
    <t>k =</t>
  </si>
  <si>
    <t>---- Refer clause no. 40.2 of IS 456</t>
  </si>
  <si>
    <t>Design Of Foundation</t>
  </si>
  <si>
    <t>a) Calculation of reinforcement at bottom</t>
  </si>
  <si>
    <t>--- Without Buoyancy Load Case</t>
  </si>
  <si>
    <t>Pre. due to pcc &amp; fdn wt =</t>
  </si>
  <si>
    <t>Net causing moment =</t>
  </si>
  <si>
    <t>Maximum Projection of fdn =</t>
  </si>
  <si>
    <t>Bending Moment =</t>
  </si>
  <si>
    <t>Tm</t>
  </si>
  <si>
    <t>Ast =</t>
  </si>
  <si>
    <t xml:space="preserve">0.5 x fck x b x d </t>
  </si>
  <si>
    <t xml:space="preserve">1 - </t>
  </si>
  <si>
    <t xml:space="preserve"> (4.6 x Mu )</t>
  </si>
  <si>
    <t xml:space="preserve">fy </t>
  </si>
  <si>
    <t>fck x b x d2</t>
  </si>
  <si>
    <t>Min. percentage of re-bar =</t>
  </si>
  <si>
    <t xml:space="preserve">Use </t>
  </si>
  <si>
    <t>mm dia bars</t>
  </si>
  <si>
    <t>Area of bar =</t>
  </si>
  <si>
    <t>Spacing =</t>
  </si>
  <si>
    <t>Provide Spacing =</t>
  </si>
  <si>
    <t>Area Provided =</t>
  </si>
  <si>
    <t>b) Calculation of reinforcement at top</t>
  </si>
  <si>
    <t>Area Load =</t>
  </si>
  <si>
    <t>Max. Projection of fdn =</t>
  </si>
  <si>
    <t>Summary Of Design :-</t>
  </si>
  <si>
    <t>Length Of Footing :-</t>
  </si>
  <si>
    <t>WIdth Of Footing :-</t>
  </si>
  <si>
    <t>Depth Of Footing :-</t>
  </si>
  <si>
    <t>Reinforcement :-</t>
  </si>
  <si>
    <t>At Top :-</t>
  </si>
  <si>
    <t>At Bottom :-</t>
  </si>
  <si>
    <r>
      <t xml:space="preserve">Coefficient Of Friction </t>
    </r>
    <r>
      <rPr>
        <sz val="10"/>
        <rFont val="Symbol"/>
        <family val="1"/>
      </rPr>
      <t>m =</t>
    </r>
  </si>
  <si>
    <r>
      <t>T/m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------ Where increase in SBC is allowed.</t>
    </r>
  </si>
  <si>
    <r>
      <t>Length Of Foundation L</t>
    </r>
    <r>
      <rPr>
        <vertAlign val="subscript"/>
        <sz val="10"/>
        <rFont val="Times New Roman"/>
        <family val="1"/>
      </rPr>
      <t xml:space="preserve">f </t>
    </r>
    <r>
      <rPr>
        <sz val="10"/>
        <rFont val="Times New Roman"/>
        <family val="1"/>
      </rPr>
      <t>=</t>
    </r>
  </si>
  <si>
    <r>
      <t>Width Of Foundation W</t>
    </r>
    <r>
      <rPr>
        <vertAlign val="subscript"/>
        <sz val="10"/>
        <rFont val="Times New Roman"/>
        <family val="1"/>
      </rPr>
      <t xml:space="preserve">f </t>
    </r>
    <r>
      <rPr>
        <sz val="10"/>
        <rFont val="Times New Roman"/>
        <family val="1"/>
      </rPr>
      <t>=</t>
    </r>
  </si>
  <si>
    <r>
      <t>Thickness Of Foundation T</t>
    </r>
    <r>
      <rPr>
        <vertAlign val="subscript"/>
        <sz val="10"/>
        <rFont val="Times New Roman"/>
        <family val="1"/>
      </rPr>
      <t xml:space="preserve">f </t>
    </r>
    <r>
      <rPr>
        <sz val="10"/>
        <rFont val="Times New Roman"/>
        <family val="1"/>
      </rPr>
      <t>=</t>
    </r>
  </si>
  <si>
    <r>
      <t>Founding Depth D</t>
    </r>
    <r>
      <rPr>
        <vertAlign val="subscript"/>
        <sz val="10"/>
        <rFont val="Times New Roman"/>
        <family val="1"/>
      </rPr>
      <t xml:space="preserve">f </t>
    </r>
    <r>
      <rPr>
        <sz val="10"/>
        <rFont val="Times New Roman"/>
        <family val="1"/>
      </rPr>
      <t>=</t>
    </r>
  </si>
  <si>
    <r>
      <t>Length Of Pedestal L</t>
    </r>
    <r>
      <rPr>
        <vertAlign val="subscript"/>
        <sz val="10"/>
        <rFont val="Times New Roman"/>
        <family val="1"/>
      </rPr>
      <t xml:space="preserve">p </t>
    </r>
    <r>
      <rPr>
        <sz val="10"/>
        <rFont val="Times New Roman"/>
        <family val="1"/>
      </rPr>
      <t>=</t>
    </r>
  </si>
  <si>
    <r>
      <t>Width Of Pedestal W</t>
    </r>
    <r>
      <rPr>
        <vertAlign val="subscript"/>
        <sz val="10"/>
        <rFont val="Times New Roman"/>
        <family val="1"/>
      </rPr>
      <t xml:space="preserve">p </t>
    </r>
    <r>
      <rPr>
        <sz val="10"/>
        <rFont val="Times New Roman"/>
        <family val="1"/>
      </rPr>
      <t>=</t>
    </r>
  </si>
  <si>
    <r>
      <t>Height Of Pedestal H</t>
    </r>
    <r>
      <rPr>
        <vertAlign val="subscript"/>
        <sz val="10"/>
        <rFont val="Times New Roman"/>
        <family val="1"/>
      </rPr>
      <t xml:space="preserve">p </t>
    </r>
    <r>
      <rPr>
        <sz val="10"/>
        <rFont val="Times New Roman"/>
        <family val="1"/>
      </rPr>
      <t>=</t>
    </r>
  </si>
  <si>
    <r>
      <t>Summary Of Loads :-</t>
    </r>
    <r>
      <rPr>
        <sz val="10"/>
        <rFont val="Times New Roman"/>
        <family val="0"/>
      </rPr>
      <t xml:space="preserve"> ( At foundation level)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</si>
  <si>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</si>
  <si>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Zxx = L x B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 6</t>
    </r>
  </si>
  <si>
    <r>
      <t>m</t>
    </r>
    <r>
      <rPr>
        <vertAlign val="superscript"/>
        <sz val="10"/>
        <rFont val="Arial"/>
        <family val="2"/>
      </rPr>
      <t>3</t>
    </r>
  </si>
  <si>
    <r>
      <t xml:space="preserve">Zyy = B x A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 6</t>
    </r>
  </si>
  <si>
    <r>
      <t>e</t>
    </r>
    <r>
      <rPr>
        <vertAlign val="subscript"/>
        <sz val="10"/>
        <rFont val="Arial"/>
        <family val="2"/>
      </rPr>
      <t>x</t>
    </r>
  </si>
  <si>
    <r>
      <t>e</t>
    </r>
    <r>
      <rPr>
        <vertAlign val="subscript"/>
        <sz val="10"/>
        <rFont val="Arial"/>
        <family val="2"/>
      </rPr>
      <t>y</t>
    </r>
  </si>
  <si>
    <r>
      <t>Cx = (L / 2) - e</t>
    </r>
    <r>
      <rPr>
        <vertAlign val="subscript"/>
        <sz val="10"/>
        <rFont val="Arial"/>
        <family val="2"/>
      </rPr>
      <t>x</t>
    </r>
  </si>
  <si>
    <r>
      <t>Cy = (B / 2) - e</t>
    </r>
    <r>
      <rPr>
        <vertAlign val="subscript"/>
        <sz val="10"/>
        <rFont val="Arial"/>
        <family val="2"/>
      </rPr>
      <t>y</t>
    </r>
  </si>
  <si>
    <r>
      <t>N/mm</t>
    </r>
    <r>
      <rPr>
        <vertAlign val="super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</si>
  <si>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/ L</t>
    </r>
  </si>
  <si>
    <r>
      <t>e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/ B</t>
    </r>
  </si>
  <si>
    <r>
      <t>For corresponding (e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/ L) and (e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/ B) value of µ =</t>
    </r>
  </si>
  <si>
    <r>
      <t>T/m</t>
    </r>
    <r>
      <rPr>
        <vertAlign val="super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</si>
  <si>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x 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c</t>
    </r>
  </si>
  <si>
    <r>
      <t>k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</si>
  <si>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 xml:space="preserve">0.5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c</t>
    </r>
  </si>
  <si>
    <r>
      <t>b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</si>
  <si>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=</t>
    </r>
  </si>
  <si>
    <r>
      <t>T/m</t>
    </r>
    <r>
      <rPr>
        <vertAlign val="superscript"/>
        <sz val="10"/>
        <rFont val="Arial"/>
        <family val="2"/>
      </rPr>
      <t xml:space="preserve">2 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</si>
  <si>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</si>
  <si>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mm</t>
    </r>
    <r>
      <rPr>
        <vertAlign val="superscript"/>
        <sz val="10"/>
        <rFont val="Arial"/>
        <family val="2"/>
      </rPr>
      <t>2</t>
    </r>
  </si>
  <si>
    <t>Maximum Load on Column =</t>
  </si>
  <si>
    <r>
      <t>Design of Raft Foundation</t>
    </r>
  </si>
  <si>
    <t>10 (SELF+WL+X)</t>
  </si>
  <si>
    <t>11 (SELF+WL-X)</t>
  </si>
  <si>
    <t>12 (SELF+WL+Z)</t>
  </si>
  <si>
    <t>13 (SELF+WL-Z)</t>
  </si>
  <si>
    <t>15 (SELF+PO+WL+X)</t>
  </si>
  <si>
    <t>16 (SELF+PO+WL-X)</t>
  </si>
  <si>
    <t>17 (SELF+PO+WL+Z)</t>
  </si>
  <si>
    <t>18 (SELF+PO+WL-Z)</t>
  </si>
  <si>
    <t>A</t>
  </si>
  <si>
    <t>Horizontal</t>
  </si>
  <si>
    <t>Vertical</t>
  </si>
  <si>
    <t>Moment</t>
  </si>
  <si>
    <t>F</t>
  </si>
  <si>
    <t>G</t>
  </si>
  <si>
    <t>Node</t>
  </si>
  <si>
    <t>L/C</t>
  </si>
  <si>
    <t>Fx Mton</t>
  </si>
  <si>
    <t>Fy Mton</t>
  </si>
  <si>
    <t>Fz Mton</t>
  </si>
  <si>
    <t>Mx MTon-m</t>
  </si>
  <si>
    <t>My MTon-m</t>
  </si>
  <si>
    <t>Mz MTon-m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</si>
</sst>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#,##0;\-&quot;ر.س.&quot;#,##0"/>
    <numFmt numFmtId="165" formatCode="&quot;ر.س.&quot;#,##0;[Red]\-&quot;ر.س.&quot;#,##0"/>
    <numFmt numFmtId="166" formatCode="&quot;ر.س.&quot;#,##0.00;\-&quot;ر.س.&quot;#,##0.00"/>
    <numFmt numFmtId="167" formatCode="&quot;ر.س.&quot;#,##0.00;[Red]\-&quot;ر.س.&quot;#,##0.00"/>
    <numFmt numFmtId="168" formatCode="_-&quot;ر.س.&quot;* #,##0_-;\-&quot;ر.س.&quot;* #,##0_-;_-&quot;ر.س.&quot;* &quot;-&quot;_-;_-@_-"/>
    <numFmt numFmtId="169" formatCode="_-* #,##0_-;\-* #,##0_-;_-* &quot;-&quot;_-;_-@_-"/>
    <numFmt numFmtId="170" formatCode="_-&quot;ر.س.&quot;* #,##0.00_-;\-&quot;ر.س.&quot;* #,##0.00_-;_-&quot;ر.س.&quot;* &quot;-&quot;??_-;_-@_-"/>
    <numFmt numFmtId="171" formatCode="_-* #,##0.00_-;\-* #,##0.00_-;_-* &quot;-&quot;??_-;_-@_-"/>
    <numFmt numFmtId="172" formatCode="0.0"/>
    <numFmt numFmtId="173" formatCode="0.000"/>
    <numFmt numFmtId="174" formatCode="0_ "/>
    <numFmt numFmtId="175" formatCode="0.00000"/>
    <numFmt numFmtId="176" formatCode="#,##0_ "/>
    <numFmt numFmtId="177" formatCode="0_);[Red]\(0\)"/>
    <numFmt numFmtId="178" formatCode="&quot;\&quot;#,##0;[Red]\-&quot;\&quot;#,##0"/>
    <numFmt numFmtId="179" formatCode="&quot;\&quot;#,##0.00;[Red]\-&quot;\&quot;#,##0.00"/>
    <numFmt numFmtId="180" formatCode="_(&quot;Rs.&quot;* #,##0_);_(&quot;Rs.&quot;* \(#,##0\);_(&quot;Rs.&quot;* &quot;-&quot;_);_(@_)"/>
    <numFmt numFmtId="181" formatCode="&quot;\&quot;#,##0;[Red]&quot;\&quot;\-#,##0"/>
    <numFmt numFmtId="182" formatCode="_(&quot;Rs.&quot;* #,##0.00_);_(&quot;Rs.&quot;* \(#,##0.00\);_(&quot;Rs.&quot;* &quot;-&quot;??_);_(@_)"/>
    <numFmt numFmtId="183" formatCode="&quot;\&quot;#,##0.00;[Red]&quot;\&quot;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-&quot;@"/>
    <numFmt numFmtId="189" formatCode="0.0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[$-409]dddd\,\ mmmm\ dd\,\ yyyy"/>
    <numFmt numFmtId="196" formatCode="[$-409]d\-mmm\-yy;@"/>
    <numFmt numFmtId="197" formatCode="0.00000000000"/>
    <numFmt numFmtId="198" formatCode="0.0000E+00;\﹌"/>
    <numFmt numFmtId="199" formatCode="0.0000E+00;\ﶌ"/>
    <numFmt numFmtId="200" formatCode="0.000E+00;\ﶌ"/>
    <numFmt numFmtId="201" formatCode="0.00E+00;\ﶌ"/>
    <numFmt numFmtId="202" formatCode="0.0E+00;\ﶌ"/>
    <numFmt numFmtId="203" formatCode="0E+00;\ﶌ"/>
    <numFmt numFmtId="204" formatCode="&quot;$&quot;#,##0.000"/>
    <numFmt numFmtId="205" formatCode="#,##0.000"/>
    <numFmt numFmtId="206" formatCode="#,##0.0000"/>
    <numFmt numFmtId="207" formatCode="0.000%"/>
    <numFmt numFmtId="208" formatCode="0.0;[Red]0.0"/>
    <numFmt numFmtId="209" formatCode="mm/dd/yy"/>
    <numFmt numFmtId="210" formatCode="dd\-mmm\-yy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Terminal"/>
      <family val="3"/>
    </font>
    <font>
      <sz val="11"/>
      <name val="明朝"/>
      <family val="1"/>
    </font>
    <font>
      <sz val="8"/>
      <name val="Arial"/>
      <family val="0"/>
    </font>
    <font>
      <b/>
      <u val="single"/>
      <sz val="10"/>
      <name val="Arial"/>
      <family val="2"/>
    </font>
    <font>
      <vertAlign val="superscript"/>
      <sz val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6">
    <xf numFmtId="0" fontId="0" fillId="0" borderId="0">
      <alignment/>
      <protection/>
    </xf>
    <xf numFmtId="12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" fontId="6" fillId="0" borderId="0">
      <alignment/>
      <protection/>
    </xf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73" fontId="0" fillId="2" borderId="0" xfId="0" applyNumberFormat="1" applyFill="1" applyAlignment="1">
      <alignment horizontal="left"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 horizontal="left"/>
    </xf>
    <xf numFmtId="172" fontId="0" fillId="2" borderId="0" xfId="0" applyNumberFormat="1" applyFill="1" applyAlignment="1">
      <alignment horizontal="right" indent="1"/>
    </xf>
    <xf numFmtId="0" fontId="3" fillId="0" borderId="0" xfId="21">
      <alignment/>
      <protection/>
    </xf>
    <xf numFmtId="0" fontId="3" fillId="0" borderId="0" xfId="21" applyFont="1" applyAlignment="1">
      <alignment horizontal="right"/>
      <protection/>
    </xf>
    <xf numFmtId="0" fontId="3" fillId="4" borderId="0" xfId="21" applyFont="1" applyFill="1" applyAlignment="1">
      <alignment horizontal="center"/>
      <protection/>
    </xf>
    <xf numFmtId="0" fontId="3" fillId="0" borderId="0" xfId="21" applyFont="1">
      <alignment/>
      <protection/>
    </xf>
    <xf numFmtId="0" fontId="3" fillId="2" borderId="0" xfId="21" applyFont="1" applyFill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quotePrefix="1">
      <alignment/>
      <protection/>
    </xf>
    <xf numFmtId="0" fontId="3" fillId="0" borderId="0" xfId="21" applyAlignment="1">
      <alignment horizontal="center"/>
      <protection/>
    </xf>
    <xf numFmtId="0" fontId="3" fillId="0" borderId="0" xfId="21" applyFont="1">
      <alignment/>
      <protection/>
    </xf>
    <xf numFmtId="0" fontId="3" fillId="0" borderId="0" xfId="21" applyAlignment="1">
      <alignment horizontal="left"/>
      <protection/>
    </xf>
    <xf numFmtId="0" fontId="3" fillId="0" borderId="0" xfId="21" applyFont="1" applyAlignment="1" quotePrefix="1">
      <alignment horizontal="right"/>
      <protection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5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3" fillId="0" borderId="0" xfId="21" applyFont="1">
      <alignment/>
      <protection/>
    </xf>
    <xf numFmtId="0" fontId="3" fillId="0" borderId="1" xfId="2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3" fillId="0" borderId="11" xfId="21" applyBorder="1" applyAlignment="1">
      <alignment horizontal="center"/>
      <protection/>
    </xf>
    <xf numFmtId="0" fontId="3" fillId="0" borderId="11" xfId="21" applyFont="1" applyBorder="1" applyAlignment="1">
      <alignment horizontal="centerContinuous"/>
      <protection/>
    </xf>
    <xf numFmtId="0" fontId="3" fillId="0" borderId="11" xfId="21" applyBorder="1" applyAlignment="1">
      <alignment horizontal="centerContinuous"/>
      <protection/>
    </xf>
    <xf numFmtId="0" fontId="3" fillId="0" borderId="1" xfId="21" applyFont="1" applyBorder="1" applyAlignment="1">
      <alignment horizontal="centerContinuous"/>
      <protection/>
    </xf>
    <xf numFmtId="0" fontId="3" fillId="0" borderId="3" xfId="21" applyBorder="1" applyAlignment="1">
      <alignment horizontal="centerContinuous"/>
      <protection/>
    </xf>
    <xf numFmtId="0" fontId="3" fillId="0" borderId="4" xfId="21" applyBorder="1" applyAlignment="1">
      <alignment horizontal="centerContinuous"/>
      <protection/>
    </xf>
    <xf numFmtId="0" fontId="3" fillId="0" borderId="5" xfId="2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5" xfId="21" applyFill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3" fillId="0" borderId="5" xfId="21" applyBorder="1">
      <alignment/>
      <protection/>
    </xf>
    <xf numFmtId="0" fontId="3" fillId="0" borderId="0" xfId="21" applyBorder="1">
      <alignment/>
      <protection/>
    </xf>
    <xf numFmtId="0" fontId="3" fillId="0" borderId="7" xfId="21" applyBorder="1">
      <alignment/>
      <protection/>
    </xf>
    <xf numFmtId="0" fontId="3" fillId="0" borderId="7" xfId="21" applyBorder="1" applyAlignment="1">
      <alignment horizontal="center"/>
      <protection/>
    </xf>
    <xf numFmtId="0" fontId="3" fillId="0" borderId="9" xfId="21" applyBorder="1">
      <alignment/>
      <protection/>
    </xf>
    <xf numFmtId="0" fontId="3" fillId="0" borderId="9" xfId="21" applyFont="1" applyBorder="1" applyAlignment="1">
      <alignment horizontal="center"/>
      <protection/>
    </xf>
    <xf numFmtId="0" fontId="3" fillId="0" borderId="7" xfId="21" applyFont="1" applyBorder="1" applyAlignment="1">
      <alignment horizontal="center" wrapText="1"/>
      <protection/>
    </xf>
    <xf numFmtId="0" fontId="3" fillId="0" borderId="7" xfId="21" applyFont="1" applyBorder="1" applyAlignment="1">
      <alignment horizontal="center"/>
      <protection/>
    </xf>
    <xf numFmtId="0" fontId="3" fillId="0" borderId="8" xfId="21" applyBorder="1">
      <alignment/>
      <protection/>
    </xf>
    <xf numFmtId="0" fontId="0" fillId="0" borderId="11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Alignment="1" quotePrefix="1">
      <alignment/>
    </xf>
    <xf numFmtId="2" fontId="0" fillId="0" borderId="0" xfId="0" applyNumberFormat="1" applyFill="1" applyAlignment="1" quotePrefix="1">
      <alignment horizontal="center"/>
    </xf>
    <xf numFmtId="0" fontId="0" fillId="0" borderId="0" xfId="0" applyFill="1" applyAlignment="1">
      <alignment horizontal="center"/>
    </xf>
    <xf numFmtId="0" fontId="0" fillId="8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14" fillId="0" borderId="0" xfId="0" applyFont="1" applyAlignment="1" quotePrefix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0" fontId="17" fillId="0" borderId="0" xfId="0" applyFont="1" applyAlignment="1">
      <alignment/>
    </xf>
    <xf numFmtId="172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19" fillId="8" borderId="0" xfId="0" applyFont="1" applyFill="1" applyAlignment="1">
      <alignment horizontal="centerContinuous"/>
    </xf>
    <xf numFmtId="0" fontId="0" fillId="8" borderId="0" xfId="0" applyFill="1" applyAlignment="1">
      <alignment horizontal="centerContinuous"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right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2" fontId="0" fillId="8" borderId="0" xfId="0" applyNumberFormat="1" applyFill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9" borderId="0" xfId="0" applyFont="1" applyFill="1" applyAlignment="1">
      <alignment horizontal="center"/>
    </xf>
    <xf numFmtId="0" fontId="3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3" fillId="0" borderId="5" xfId="21" applyFont="1" applyBorder="1" applyAlignment="1">
      <alignment horizontal="center" wrapText="1"/>
      <protection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</cellXfs>
  <cellStyles count="14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ft_Foundation_ACI_IS" xfId="21"/>
    <cellStyle name="Percent" xfId="22"/>
    <cellStyle name="標準_A-PR-reactin" xfId="23"/>
    <cellStyle name="通貨 [0.00]_Crack Width Control (CEB-FIP_BS8110)" xfId="24"/>
    <cellStyle name="通貨_Crack Width Control (CEB-FIP_BS8110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10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" y="647700"/>
          <a:ext cx="4914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</xdr:row>
      <xdr:rowOff>152400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209675" y="638175"/>
          <a:ext cx="952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10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" y="2752725"/>
          <a:ext cx="490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10</xdr:col>
      <xdr:colOff>9525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6124575" y="647700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17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3676650" y="485775"/>
          <a:ext cx="0" cy="2419350"/>
        </a:xfrm>
        <a:prstGeom prst="line">
          <a:avLst/>
        </a:prstGeom>
        <a:noFill/>
        <a:ln w="9525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76200</xdr:rowOff>
    </xdr:from>
    <xdr:to>
      <xdr:col>10</xdr:col>
      <xdr:colOff>238125</xdr:colOff>
      <xdr:row>10</xdr:row>
      <xdr:rowOff>76200</xdr:rowOff>
    </xdr:to>
    <xdr:sp>
      <xdr:nvSpPr>
        <xdr:cNvPr id="6" name="Line 6"/>
        <xdr:cNvSpPr>
          <a:spLocks/>
        </xdr:cNvSpPr>
      </xdr:nvSpPr>
      <xdr:spPr>
        <a:xfrm>
          <a:off x="1047750" y="1695450"/>
          <a:ext cx="5305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6</xdr:row>
      <xdr:rowOff>0</xdr:rowOff>
    </xdr:from>
    <xdr:to>
      <xdr:col>4</xdr:col>
      <xdr:colOff>133350</xdr:colOff>
      <xdr:row>8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333625" y="971550"/>
          <a:ext cx="2571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</xdr:row>
      <xdr:rowOff>9525</xdr:rowOff>
    </xdr:from>
    <xdr:to>
      <xdr:col>8</xdr:col>
      <xdr:colOff>133350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72025" y="981075"/>
          <a:ext cx="2571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12</xdr:row>
      <xdr:rowOff>9525</xdr:rowOff>
    </xdr:from>
    <xdr:to>
      <xdr:col>8</xdr:col>
      <xdr:colOff>133350</xdr:colOff>
      <xdr:row>15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72025" y="1952625"/>
          <a:ext cx="2571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12</xdr:row>
      <xdr:rowOff>9525</xdr:rowOff>
    </xdr:from>
    <xdr:to>
      <xdr:col>4</xdr:col>
      <xdr:colOff>133350</xdr:colOff>
      <xdr:row>15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333625" y="1952625"/>
          <a:ext cx="2571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257175</xdr:colOff>
      <xdr:row>9</xdr:row>
      <xdr:rowOff>142875</xdr:rowOff>
    </xdr:from>
    <xdr:ext cx="142875" cy="200025"/>
    <xdr:sp>
      <xdr:nvSpPr>
        <xdr:cNvPr id="11" name="TextBox 11"/>
        <xdr:cNvSpPr txBox="1">
          <a:spLocks noChangeArrowheads="1"/>
        </xdr:cNvSpPr>
      </xdr:nvSpPr>
      <xdr:spPr>
        <a:xfrm>
          <a:off x="6372225" y="16002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5</xdr:col>
      <xdr:colOff>552450</xdr:colOff>
      <xdr:row>1</xdr:row>
      <xdr:rowOff>76200</xdr:rowOff>
    </xdr:from>
    <xdr:ext cx="142875" cy="200025"/>
    <xdr:sp>
      <xdr:nvSpPr>
        <xdr:cNvPr id="12" name="TextBox 12"/>
        <xdr:cNvSpPr txBox="1">
          <a:spLocks noChangeArrowheads="1"/>
        </xdr:cNvSpPr>
      </xdr:nvSpPr>
      <xdr:spPr>
        <a:xfrm>
          <a:off x="3619500" y="238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oneCellAnchor>
  <xdr:twoCellAnchor>
    <xdr:from>
      <xdr:col>3</xdr:col>
      <xdr:colOff>247650</xdr:colOff>
      <xdr:row>7</xdr:row>
      <xdr:rowOff>57150</xdr:rowOff>
    </xdr:from>
    <xdr:to>
      <xdr:col>4</xdr:col>
      <xdr:colOff>428625</xdr:colOff>
      <xdr:row>7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2095500" y="1190625"/>
          <a:ext cx="790575" cy="0"/>
        </a:xfrm>
        <a:prstGeom prst="line">
          <a:avLst/>
        </a:prstGeom>
        <a:noFill/>
        <a:ln w="9525" cmpd="sng">
          <a:solidFill>
            <a:srgbClr val="969696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9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2457450" y="809625"/>
          <a:ext cx="0" cy="800100"/>
        </a:xfrm>
        <a:prstGeom prst="line">
          <a:avLst/>
        </a:prstGeom>
        <a:noFill/>
        <a:ln w="9525" cmpd="sng">
          <a:solidFill>
            <a:srgbClr val="969696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9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4895850" y="819150"/>
          <a:ext cx="0" cy="771525"/>
        </a:xfrm>
        <a:prstGeom prst="line">
          <a:avLst/>
        </a:prstGeom>
        <a:noFill/>
        <a:ln w="9525" cmpd="sng">
          <a:solidFill>
            <a:srgbClr val="969696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76200</xdr:rowOff>
    </xdr:from>
    <xdr:to>
      <xdr:col>8</xdr:col>
      <xdr:colOff>428625</xdr:colOff>
      <xdr:row>7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4600575" y="1209675"/>
          <a:ext cx="723900" cy="0"/>
        </a:xfrm>
        <a:prstGeom prst="line">
          <a:avLst/>
        </a:prstGeom>
        <a:noFill/>
        <a:ln w="9525" cmpd="sng">
          <a:solidFill>
            <a:srgbClr val="969696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447675</xdr:colOff>
      <xdr:row>6</xdr:row>
      <xdr:rowOff>142875</xdr:rowOff>
    </xdr:from>
    <xdr:ext cx="142875" cy="200025"/>
    <xdr:sp>
      <xdr:nvSpPr>
        <xdr:cNvPr id="17" name="TextBox 17"/>
        <xdr:cNvSpPr txBox="1">
          <a:spLocks noChangeArrowheads="1"/>
        </xdr:cNvSpPr>
      </xdr:nvSpPr>
      <xdr:spPr>
        <a:xfrm>
          <a:off x="5343525" y="11144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7</xdr:col>
      <xdr:colOff>552450</xdr:colOff>
      <xdr:row>4</xdr:row>
      <xdr:rowOff>0</xdr:rowOff>
    </xdr:from>
    <xdr:ext cx="142875" cy="200025"/>
    <xdr:sp>
      <xdr:nvSpPr>
        <xdr:cNvPr id="18" name="TextBox 18"/>
        <xdr:cNvSpPr txBox="1">
          <a:spLocks noChangeArrowheads="1"/>
        </xdr:cNvSpPr>
      </xdr:nvSpPr>
      <xdr:spPr>
        <a:xfrm>
          <a:off x="48387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oneCellAnchor>
  <xdr:oneCellAnchor>
    <xdr:from>
      <xdr:col>3</xdr:col>
      <xdr:colOff>552450</xdr:colOff>
      <xdr:row>4</xdr:row>
      <xdr:rowOff>123825</xdr:rowOff>
    </xdr:from>
    <xdr:ext cx="142875" cy="200025"/>
    <xdr:sp>
      <xdr:nvSpPr>
        <xdr:cNvPr id="19" name="TextBox 19"/>
        <xdr:cNvSpPr txBox="1">
          <a:spLocks noChangeArrowheads="1"/>
        </xdr:cNvSpPr>
      </xdr:nvSpPr>
      <xdr:spPr>
        <a:xfrm>
          <a:off x="2400300" y="771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oneCellAnchor>
  <xdr:oneCellAnchor>
    <xdr:from>
      <xdr:col>4</xdr:col>
      <xdr:colOff>447675</xdr:colOff>
      <xdr:row>6</xdr:row>
      <xdr:rowOff>95250</xdr:rowOff>
    </xdr:from>
    <xdr:ext cx="142875" cy="200025"/>
    <xdr:sp>
      <xdr:nvSpPr>
        <xdr:cNvPr id="20" name="TextBox 20"/>
        <xdr:cNvSpPr txBox="1">
          <a:spLocks noChangeArrowheads="1"/>
        </xdr:cNvSpPr>
      </xdr:nvSpPr>
      <xdr:spPr>
        <a:xfrm>
          <a:off x="2905125" y="106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3</xdr:col>
      <xdr:colOff>238125</xdr:colOff>
      <xdr:row>13</xdr:row>
      <xdr:rowOff>66675</xdr:rowOff>
    </xdr:from>
    <xdr:to>
      <xdr:col>4</xdr:col>
      <xdr:colOff>419100</xdr:colOff>
      <xdr:row>13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2085975" y="2171700"/>
          <a:ext cx="790575" cy="0"/>
        </a:xfrm>
        <a:prstGeom prst="line">
          <a:avLst/>
        </a:prstGeom>
        <a:noFill/>
        <a:ln w="9525" cmpd="sng">
          <a:solidFill>
            <a:srgbClr val="969696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11</xdr:row>
      <xdr:rowOff>9525</xdr:rowOff>
    </xdr:from>
    <xdr:to>
      <xdr:col>3</xdr:col>
      <xdr:colOff>600075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2447925" y="1790700"/>
          <a:ext cx="0" cy="800100"/>
        </a:xfrm>
        <a:prstGeom prst="line">
          <a:avLst/>
        </a:prstGeom>
        <a:noFill/>
        <a:ln w="9525" cmpd="sng">
          <a:solidFill>
            <a:srgbClr val="969696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13</xdr:row>
      <xdr:rowOff>57150</xdr:rowOff>
    </xdr:from>
    <xdr:to>
      <xdr:col>8</xdr:col>
      <xdr:colOff>428625</xdr:colOff>
      <xdr:row>13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4533900" y="2162175"/>
          <a:ext cx="790575" cy="0"/>
        </a:xfrm>
        <a:prstGeom prst="line">
          <a:avLst/>
        </a:prstGeom>
        <a:noFill/>
        <a:ln w="9525" cmpd="sng">
          <a:solidFill>
            <a:srgbClr val="969696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15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4895850" y="1781175"/>
          <a:ext cx="0" cy="800100"/>
        </a:xfrm>
        <a:prstGeom prst="line">
          <a:avLst/>
        </a:prstGeom>
        <a:noFill/>
        <a:ln w="9525" cmpd="sng">
          <a:solidFill>
            <a:srgbClr val="969696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57150</xdr:rowOff>
    </xdr:from>
    <xdr:to>
      <xdr:col>4</xdr:col>
      <xdr:colOff>0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>
          <a:off x="2457450" y="2809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47625</xdr:rowOff>
    </xdr:from>
    <xdr:to>
      <xdr:col>8</xdr:col>
      <xdr:colOff>0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>
          <a:off x="4895850" y="2800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8</xdr:col>
      <xdr:colOff>0</xdr:colOff>
      <xdr:row>18</xdr:row>
      <xdr:rowOff>9525</xdr:rowOff>
    </xdr:to>
    <xdr:sp>
      <xdr:nvSpPr>
        <xdr:cNvPr id="27" name="Line 27"/>
        <xdr:cNvSpPr>
          <a:spLocks/>
        </xdr:cNvSpPr>
      </xdr:nvSpPr>
      <xdr:spPr>
        <a:xfrm>
          <a:off x="2457450" y="29241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57150</xdr:rowOff>
    </xdr:from>
    <xdr:to>
      <xdr:col>1</xdr:col>
      <xdr:colOff>457200</xdr:colOff>
      <xdr:row>7</xdr:row>
      <xdr:rowOff>57150</xdr:rowOff>
    </xdr:to>
    <xdr:sp>
      <xdr:nvSpPr>
        <xdr:cNvPr id="28" name="Line 28"/>
        <xdr:cNvSpPr>
          <a:spLocks/>
        </xdr:cNvSpPr>
      </xdr:nvSpPr>
      <xdr:spPr>
        <a:xfrm flipH="1">
          <a:off x="666750" y="1190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85725</xdr:rowOff>
    </xdr:from>
    <xdr:to>
      <xdr:col>1</xdr:col>
      <xdr:colOff>428625</xdr:colOff>
      <xdr:row>13</xdr:row>
      <xdr:rowOff>85725</xdr:rowOff>
    </xdr:to>
    <xdr:sp>
      <xdr:nvSpPr>
        <xdr:cNvPr id="29" name="Line 29"/>
        <xdr:cNvSpPr>
          <a:spLocks/>
        </xdr:cNvSpPr>
      </xdr:nvSpPr>
      <xdr:spPr>
        <a:xfrm flipH="1">
          <a:off x="638175" y="21907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7</xdr:row>
      <xdr:rowOff>66675</xdr:rowOff>
    </xdr:from>
    <xdr:to>
      <xdr:col>1</xdr:col>
      <xdr:colOff>361950</xdr:colOff>
      <xdr:row>13</xdr:row>
      <xdr:rowOff>85725</xdr:rowOff>
    </xdr:to>
    <xdr:sp>
      <xdr:nvSpPr>
        <xdr:cNvPr id="30" name="Line 30"/>
        <xdr:cNvSpPr>
          <a:spLocks/>
        </xdr:cNvSpPr>
      </xdr:nvSpPr>
      <xdr:spPr>
        <a:xfrm flipH="1">
          <a:off x="971550" y="12001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47625</xdr:rowOff>
    </xdr:from>
    <xdr:to>
      <xdr:col>2</xdr:col>
      <xdr:colOff>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>
          <a:off x="1219200" y="2800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1219200" y="29146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66675</xdr:rowOff>
    </xdr:from>
    <xdr:to>
      <xdr:col>10</xdr:col>
      <xdr:colOff>0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>
          <a:off x="6115050" y="2819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4895850" y="2914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10</xdr:col>
      <xdr:colOff>9525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>
          <a:off x="1219200" y="485775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47625</xdr:rowOff>
    </xdr:from>
    <xdr:to>
      <xdr:col>1</xdr:col>
      <xdr:colOff>600075</xdr:colOff>
      <xdr:row>3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1209675" y="371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66675</xdr:rowOff>
    </xdr:from>
    <xdr:to>
      <xdr:col>10</xdr:col>
      <xdr:colOff>0</xdr:colOff>
      <xdr:row>3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6115050" y="390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</xdr:row>
      <xdr:rowOff>19050</xdr:rowOff>
    </xdr:from>
    <xdr:to>
      <xdr:col>3</xdr:col>
      <xdr:colOff>485775</xdr:colOff>
      <xdr:row>5</xdr:row>
      <xdr:rowOff>142875</xdr:rowOff>
    </xdr:to>
    <xdr:sp>
      <xdr:nvSpPr>
        <xdr:cNvPr id="38" name="Line 38"/>
        <xdr:cNvSpPr>
          <a:spLocks/>
        </xdr:cNvSpPr>
      </xdr:nvSpPr>
      <xdr:spPr>
        <a:xfrm flipV="1">
          <a:off x="2333625" y="3429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19050</xdr:rowOff>
    </xdr:from>
    <xdr:to>
      <xdr:col>4</xdr:col>
      <xdr:colOff>142875</xdr:colOff>
      <xdr:row>5</xdr:row>
      <xdr:rowOff>114300</xdr:rowOff>
    </xdr:to>
    <xdr:sp>
      <xdr:nvSpPr>
        <xdr:cNvPr id="39" name="Line 39"/>
        <xdr:cNvSpPr>
          <a:spLocks/>
        </xdr:cNvSpPr>
      </xdr:nvSpPr>
      <xdr:spPr>
        <a:xfrm flipH="1" flipV="1">
          <a:off x="2590800" y="342900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85725</xdr:rowOff>
    </xdr:from>
    <xdr:to>
      <xdr:col>3</xdr:col>
      <xdr:colOff>485775</xdr:colOff>
      <xdr:row>5</xdr:row>
      <xdr:rowOff>85725</xdr:rowOff>
    </xdr:to>
    <xdr:sp>
      <xdr:nvSpPr>
        <xdr:cNvPr id="40" name="Line 40"/>
        <xdr:cNvSpPr>
          <a:spLocks/>
        </xdr:cNvSpPr>
      </xdr:nvSpPr>
      <xdr:spPr>
        <a:xfrm flipH="1">
          <a:off x="2152650" y="895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</xdr:row>
      <xdr:rowOff>57150</xdr:rowOff>
    </xdr:from>
    <xdr:to>
      <xdr:col>4</xdr:col>
      <xdr:colOff>400050</xdr:colOff>
      <xdr:row>5</xdr:row>
      <xdr:rowOff>57150</xdr:rowOff>
    </xdr:to>
    <xdr:sp>
      <xdr:nvSpPr>
        <xdr:cNvPr id="41" name="Line 41"/>
        <xdr:cNvSpPr>
          <a:spLocks/>
        </xdr:cNvSpPr>
      </xdr:nvSpPr>
      <xdr:spPr>
        <a:xfrm flipH="1">
          <a:off x="2609850" y="8667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400050</xdr:colOff>
      <xdr:row>6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1866900" y="981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152400</xdr:rowOff>
    </xdr:from>
    <xdr:to>
      <xdr:col>3</xdr:col>
      <xdr:colOff>428625</xdr:colOff>
      <xdr:row>8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1895475" y="1447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6</xdr:row>
      <xdr:rowOff>9525</xdr:rowOff>
    </xdr:from>
    <xdr:to>
      <xdr:col>3</xdr:col>
      <xdr:colOff>85725</xdr:colOff>
      <xdr:row>8</xdr:row>
      <xdr:rowOff>152400</xdr:rowOff>
    </xdr:to>
    <xdr:sp>
      <xdr:nvSpPr>
        <xdr:cNvPr id="44" name="Line 44"/>
        <xdr:cNvSpPr>
          <a:spLocks/>
        </xdr:cNvSpPr>
      </xdr:nvSpPr>
      <xdr:spPr>
        <a:xfrm flipH="1">
          <a:off x="1933575" y="981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21</xdr:row>
      <xdr:rowOff>66675</xdr:rowOff>
    </xdr:from>
    <xdr:to>
      <xdr:col>12</xdr:col>
      <xdr:colOff>133350</xdr:colOff>
      <xdr:row>21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1323975" y="3467100"/>
          <a:ext cx="614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9525</xdr:rowOff>
    </xdr:from>
    <xdr:to>
      <xdr:col>8</xdr:col>
      <xdr:colOff>200025</xdr:colOff>
      <xdr:row>25</xdr:row>
      <xdr:rowOff>85725</xdr:rowOff>
    </xdr:to>
    <xdr:sp>
      <xdr:nvSpPr>
        <xdr:cNvPr id="46" name="Rectangle 46"/>
        <xdr:cNvSpPr>
          <a:spLocks/>
        </xdr:cNvSpPr>
      </xdr:nvSpPr>
      <xdr:spPr>
        <a:xfrm>
          <a:off x="4752975" y="3248025"/>
          <a:ext cx="3429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85725</xdr:rowOff>
    </xdr:from>
    <xdr:to>
      <xdr:col>10</xdr:col>
      <xdr:colOff>0</xdr:colOff>
      <xdr:row>27</xdr:row>
      <xdr:rowOff>9525</xdr:rowOff>
    </xdr:to>
    <xdr:sp>
      <xdr:nvSpPr>
        <xdr:cNvPr id="47" name="Rectangle 47"/>
        <xdr:cNvSpPr>
          <a:spLocks/>
        </xdr:cNvSpPr>
      </xdr:nvSpPr>
      <xdr:spPr>
        <a:xfrm>
          <a:off x="1228725" y="4133850"/>
          <a:ext cx="4886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76200</xdr:rowOff>
    </xdr:from>
    <xdr:to>
      <xdr:col>10</xdr:col>
      <xdr:colOff>390525</xdr:colOff>
      <xdr:row>25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6134100" y="41243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21</xdr:row>
      <xdr:rowOff>57150</xdr:rowOff>
    </xdr:from>
    <xdr:to>
      <xdr:col>11</xdr:col>
      <xdr:colOff>180975</xdr:colOff>
      <xdr:row>27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6896100" y="3457575"/>
          <a:ext cx="95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27</xdr:row>
      <xdr:rowOff>9525</xdr:rowOff>
    </xdr:from>
    <xdr:to>
      <xdr:col>12</xdr:col>
      <xdr:colOff>180975</xdr:colOff>
      <xdr:row>27</xdr:row>
      <xdr:rowOff>9525</xdr:rowOff>
    </xdr:to>
    <xdr:sp>
      <xdr:nvSpPr>
        <xdr:cNvPr id="50" name="Line 50"/>
        <xdr:cNvSpPr>
          <a:spLocks/>
        </xdr:cNvSpPr>
      </xdr:nvSpPr>
      <xdr:spPr>
        <a:xfrm>
          <a:off x="6210300" y="4381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20</xdr:row>
      <xdr:rowOff>9525</xdr:rowOff>
    </xdr:from>
    <xdr:to>
      <xdr:col>4</xdr:col>
      <xdr:colOff>209550</xdr:colOff>
      <xdr:row>25</xdr:row>
      <xdr:rowOff>85725</xdr:rowOff>
    </xdr:to>
    <xdr:sp>
      <xdr:nvSpPr>
        <xdr:cNvPr id="51" name="Rectangle 51"/>
        <xdr:cNvSpPr>
          <a:spLocks/>
        </xdr:cNvSpPr>
      </xdr:nvSpPr>
      <xdr:spPr>
        <a:xfrm>
          <a:off x="2295525" y="3248025"/>
          <a:ext cx="3714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27</xdr:row>
      <xdr:rowOff>9525</xdr:rowOff>
    </xdr:from>
    <xdr:to>
      <xdr:col>10</xdr:col>
      <xdr:colOff>85725</xdr:colOff>
      <xdr:row>27</xdr:row>
      <xdr:rowOff>76200</xdr:rowOff>
    </xdr:to>
    <xdr:sp>
      <xdr:nvSpPr>
        <xdr:cNvPr id="52" name="Rectangle 52"/>
        <xdr:cNvSpPr>
          <a:spLocks/>
        </xdr:cNvSpPr>
      </xdr:nvSpPr>
      <xdr:spPr>
        <a:xfrm>
          <a:off x="1095375" y="4381500"/>
          <a:ext cx="51054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21</xdr:row>
      <xdr:rowOff>57150</xdr:rowOff>
    </xdr:from>
    <xdr:to>
      <xdr:col>10</xdr:col>
      <xdr:colOff>238125</xdr:colOff>
      <xdr:row>25</xdr:row>
      <xdr:rowOff>85725</xdr:rowOff>
    </xdr:to>
    <xdr:sp>
      <xdr:nvSpPr>
        <xdr:cNvPr id="53" name="Line 53"/>
        <xdr:cNvSpPr>
          <a:spLocks/>
        </xdr:cNvSpPr>
      </xdr:nvSpPr>
      <xdr:spPr>
        <a:xfrm flipH="1">
          <a:off x="6353175" y="34575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25</xdr:row>
      <xdr:rowOff>76200</xdr:rowOff>
    </xdr:from>
    <xdr:to>
      <xdr:col>10</xdr:col>
      <xdr:colOff>247650</xdr:colOff>
      <xdr:row>27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6353175" y="41243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20</xdr:row>
      <xdr:rowOff>114300</xdr:rowOff>
    </xdr:from>
    <xdr:to>
      <xdr:col>4</xdr:col>
      <xdr:colOff>600075</xdr:colOff>
      <xdr:row>21</xdr:row>
      <xdr:rowOff>57150</xdr:rowOff>
    </xdr:to>
    <xdr:sp>
      <xdr:nvSpPr>
        <xdr:cNvPr id="55" name="AutoShape 55"/>
        <xdr:cNvSpPr>
          <a:spLocks/>
        </xdr:cNvSpPr>
      </xdr:nvSpPr>
      <xdr:spPr>
        <a:xfrm rot="10699655">
          <a:off x="2971800" y="3352800"/>
          <a:ext cx="857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152400</xdr:rowOff>
    </xdr:from>
    <xdr:to>
      <xdr:col>1</xdr:col>
      <xdr:colOff>542925</xdr:colOff>
      <xdr:row>3</xdr:row>
      <xdr:rowOff>152400</xdr:rowOff>
    </xdr:to>
    <xdr:sp>
      <xdr:nvSpPr>
        <xdr:cNvPr id="56" name="Line 56"/>
        <xdr:cNvSpPr>
          <a:spLocks/>
        </xdr:cNvSpPr>
      </xdr:nvSpPr>
      <xdr:spPr>
        <a:xfrm flipH="1" flipV="1">
          <a:off x="866775" y="63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142875</xdr:rowOff>
    </xdr:from>
    <xdr:to>
      <xdr:col>1</xdr:col>
      <xdr:colOff>361950</xdr:colOff>
      <xdr:row>7</xdr:row>
      <xdr:rowOff>47625</xdr:rowOff>
    </xdr:to>
    <xdr:sp>
      <xdr:nvSpPr>
        <xdr:cNvPr id="57" name="Line 57"/>
        <xdr:cNvSpPr>
          <a:spLocks/>
        </xdr:cNvSpPr>
      </xdr:nvSpPr>
      <xdr:spPr>
        <a:xfrm flipV="1">
          <a:off x="971550" y="6286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16</xdr:row>
      <xdr:rowOff>152400</xdr:rowOff>
    </xdr:from>
    <xdr:to>
      <xdr:col>1</xdr:col>
      <xdr:colOff>571500</xdr:colOff>
      <xdr:row>16</xdr:row>
      <xdr:rowOff>152400</xdr:rowOff>
    </xdr:to>
    <xdr:sp>
      <xdr:nvSpPr>
        <xdr:cNvPr id="58" name="Line 58"/>
        <xdr:cNvSpPr>
          <a:spLocks/>
        </xdr:cNvSpPr>
      </xdr:nvSpPr>
      <xdr:spPr>
        <a:xfrm flipH="1" flipV="1">
          <a:off x="895350" y="2743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95250</xdr:rowOff>
    </xdr:from>
    <xdr:to>
      <xdr:col>1</xdr:col>
      <xdr:colOff>381000</xdr:colOff>
      <xdr:row>16</xdr:row>
      <xdr:rowOff>142875</xdr:rowOff>
    </xdr:to>
    <xdr:sp>
      <xdr:nvSpPr>
        <xdr:cNvPr id="59" name="Line 59"/>
        <xdr:cNvSpPr>
          <a:spLocks/>
        </xdr:cNvSpPr>
      </xdr:nvSpPr>
      <xdr:spPr>
        <a:xfrm>
          <a:off x="981075" y="220027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4</xdr:row>
      <xdr:rowOff>0</xdr:rowOff>
    </xdr:from>
    <xdr:to>
      <xdr:col>10</xdr:col>
      <xdr:colOff>542925</xdr:colOff>
      <xdr:row>17</xdr:row>
      <xdr:rowOff>0</xdr:rowOff>
    </xdr:to>
    <xdr:sp>
      <xdr:nvSpPr>
        <xdr:cNvPr id="60" name="Line 60"/>
        <xdr:cNvSpPr>
          <a:spLocks/>
        </xdr:cNvSpPr>
      </xdr:nvSpPr>
      <xdr:spPr>
        <a:xfrm>
          <a:off x="6657975" y="647700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0</xdr:rowOff>
    </xdr:from>
    <xdr:to>
      <xdr:col>11</xdr:col>
      <xdr:colOff>190500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6229350" y="647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17</xdr:row>
      <xdr:rowOff>9525</xdr:rowOff>
    </xdr:from>
    <xdr:to>
      <xdr:col>11</xdr:col>
      <xdr:colOff>171450</xdr:colOff>
      <xdr:row>17</xdr:row>
      <xdr:rowOff>9525</xdr:rowOff>
    </xdr:to>
    <xdr:sp>
      <xdr:nvSpPr>
        <xdr:cNvPr id="62" name="Line 62"/>
        <xdr:cNvSpPr>
          <a:spLocks/>
        </xdr:cNvSpPr>
      </xdr:nvSpPr>
      <xdr:spPr>
        <a:xfrm>
          <a:off x="6210300" y="27622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7</xdr:row>
      <xdr:rowOff>85725</xdr:rowOff>
    </xdr:from>
    <xdr:to>
      <xdr:col>7</xdr:col>
      <xdr:colOff>381000</xdr:colOff>
      <xdr:row>10</xdr:row>
      <xdr:rowOff>66675</xdr:rowOff>
    </xdr:to>
    <xdr:sp>
      <xdr:nvSpPr>
        <xdr:cNvPr id="63" name="Line 63"/>
        <xdr:cNvSpPr>
          <a:spLocks/>
        </xdr:cNvSpPr>
      </xdr:nvSpPr>
      <xdr:spPr>
        <a:xfrm flipV="1">
          <a:off x="4667250" y="1219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16</xdr:row>
      <xdr:rowOff>0</xdr:rowOff>
    </xdr:from>
    <xdr:to>
      <xdr:col>7</xdr:col>
      <xdr:colOff>600075</xdr:colOff>
      <xdr:row>16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3667125" y="2590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350</xdr:row>
      <xdr:rowOff>9525</xdr:rowOff>
    </xdr:from>
    <xdr:to>
      <xdr:col>6</xdr:col>
      <xdr:colOff>209550</xdr:colOff>
      <xdr:row>360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2171700" y="57435750"/>
          <a:ext cx="1714500" cy="16097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384</xdr:row>
      <xdr:rowOff>0</xdr:rowOff>
    </xdr:from>
    <xdr:to>
      <xdr:col>5</xdr:col>
      <xdr:colOff>47625</xdr:colOff>
      <xdr:row>384</xdr:row>
      <xdr:rowOff>0</xdr:rowOff>
    </xdr:to>
    <xdr:sp>
      <xdr:nvSpPr>
        <xdr:cNvPr id="66" name="Line 66"/>
        <xdr:cNvSpPr>
          <a:spLocks/>
        </xdr:cNvSpPr>
      </xdr:nvSpPr>
      <xdr:spPr>
        <a:xfrm>
          <a:off x="1905000" y="63065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387</xdr:row>
      <xdr:rowOff>0</xdr:rowOff>
    </xdr:from>
    <xdr:to>
      <xdr:col>3</xdr:col>
      <xdr:colOff>571500</xdr:colOff>
      <xdr:row>387</xdr:row>
      <xdr:rowOff>0</xdr:rowOff>
    </xdr:to>
    <xdr:sp>
      <xdr:nvSpPr>
        <xdr:cNvPr id="67" name="Line 67"/>
        <xdr:cNvSpPr>
          <a:spLocks/>
        </xdr:cNvSpPr>
      </xdr:nvSpPr>
      <xdr:spPr>
        <a:xfrm>
          <a:off x="1924050" y="63550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396</xdr:row>
      <xdr:rowOff>0</xdr:rowOff>
    </xdr:from>
    <xdr:to>
      <xdr:col>4</xdr:col>
      <xdr:colOff>95250</xdr:colOff>
      <xdr:row>396</xdr:row>
      <xdr:rowOff>0</xdr:rowOff>
    </xdr:to>
    <xdr:sp>
      <xdr:nvSpPr>
        <xdr:cNvPr id="68" name="Line 68"/>
        <xdr:cNvSpPr>
          <a:spLocks/>
        </xdr:cNvSpPr>
      </xdr:nvSpPr>
      <xdr:spPr>
        <a:xfrm>
          <a:off x="1895475" y="65084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437</xdr:row>
      <xdr:rowOff>0</xdr:rowOff>
    </xdr:from>
    <xdr:to>
      <xdr:col>4</xdr:col>
      <xdr:colOff>19050</xdr:colOff>
      <xdr:row>437</xdr:row>
      <xdr:rowOff>0</xdr:rowOff>
    </xdr:to>
    <xdr:sp>
      <xdr:nvSpPr>
        <xdr:cNvPr id="69" name="Line 69"/>
        <xdr:cNvSpPr>
          <a:spLocks/>
        </xdr:cNvSpPr>
      </xdr:nvSpPr>
      <xdr:spPr>
        <a:xfrm>
          <a:off x="1857375" y="71799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350</xdr:row>
      <xdr:rowOff>9525</xdr:rowOff>
    </xdr:from>
    <xdr:to>
      <xdr:col>8</xdr:col>
      <xdr:colOff>542925</xdr:colOff>
      <xdr:row>360</xdr:row>
      <xdr:rowOff>9525</xdr:rowOff>
    </xdr:to>
    <xdr:sp>
      <xdr:nvSpPr>
        <xdr:cNvPr id="70" name="Rectangle 70"/>
        <xdr:cNvSpPr>
          <a:spLocks/>
        </xdr:cNvSpPr>
      </xdr:nvSpPr>
      <xdr:spPr>
        <a:xfrm>
          <a:off x="2171700" y="57435750"/>
          <a:ext cx="3267075" cy="16192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352</xdr:row>
      <xdr:rowOff>47625</xdr:rowOff>
    </xdr:from>
    <xdr:to>
      <xdr:col>5</xdr:col>
      <xdr:colOff>28575</xdr:colOff>
      <xdr:row>357</xdr:row>
      <xdr:rowOff>95250</xdr:rowOff>
    </xdr:to>
    <xdr:sp>
      <xdr:nvSpPr>
        <xdr:cNvPr id="71" name="Rectangle 71"/>
        <xdr:cNvSpPr>
          <a:spLocks/>
        </xdr:cNvSpPr>
      </xdr:nvSpPr>
      <xdr:spPr>
        <a:xfrm>
          <a:off x="2495550" y="57797700"/>
          <a:ext cx="6000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353</xdr:row>
      <xdr:rowOff>133350</xdr:rowOff>
    </xdr:from>
    <xdr:to>
      <xdr:col>4</xdr:col>
      <xdr:colOff>476250</xdr:colOff>
      <xdr:row>356</xdr:row>
      <xdr:rowOff>28575</xdr:rowOff>
    </xdr:to>
    <xdr:sp>
      <xdr:nvSpPr>
        <xdr:cNvPr id="72" name="Rectangle 72"/>
        <xdr:cNvSpPr>
          <a:spLocks/>
        </xdr:cNvSpPr>
      </xdr:nvSpPr>
      <xdr:spPr>
        <a:xfrm>
          <a:off x="2686050" y="58045350"/>
          <a:ext cx="2476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354</xdr:row>
      <xdr:rowOff>104775</xdr:rowOff>
    </xdr:from>
    <xdr:to>
      <xdr:col>4</xdr:col>
      <xdr:colOff>200025</xdr:colOff>
      <xdr:row>355</xdr:row>
      <xdr:rowOff>66675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457450" y="58178700"/>
          <a:ext cx="2000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d/2</a:t>
          </a:r>
        </a:p>
      </xdr:txBody>
    </xdr:sp>
    <xdr:clientData/>
  </xdr:twoCellAnchor>
  <xdr:twoCellAnchor>
    <xdr:from>
      <xdr:col>4</xdr:col>
      <xdr:colOff>342900</xdr:colOff>
      <xdr:row>349</xdr:row>
      <xdr:rowOff>9525</xdr:rowOff>
    </xdr:from>
    <xdr:to>
      <xdr:col>4</xdr:col>
      <xdr:colOff>342900</xdr:colOff>
      <xdr:row>360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2800350" y="572738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352</xdr:row>
      <xdr:rowOff>123825</xdr:rowOff>
    </xdr:from>
    <xdr:to>
      <xdr:col>4</xdr:col>
      <xdr:colOff>514350</xdr:colOff>
      <xdr:row>353</xdr:row>
      <xdr:rowOff>95250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628900" y="57873900"/>
          <a:ext cx="3429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d/2</a:t>
          </a:r>
        </a:p>
      </xdr:txBody>
    </xdr:sp>
    <xdr:clientData/>
  </xdr:twoCellAnchor>
  <xdr:twoCellAnchor>
    <xdr:from>
      <xdr:col>2</xdr:col>
      <xdr:colOff>0</xdr:colOff>
      <xdr:row>403</xdr:row>
      <xdr:rowOff>9525</xdr:rowOff>
    </xdr:from>
    <xdr:to>
      <xdr:col>9</xdr:col>
      <xdr:colOff>9525</xdr:colOff>
      <xdr:row>413</xdr:row>
      <xdr:rowOff>9525</xdr:rowOff>
    </xdr:to>
    <xdr:sp>
      <xdr:nvSpPr>
        <xdr:cNvPr id="76" name="Rectangle 76"/>
        <xdr:cNvSpPr>
          <a:spLocks/>
        </xdr:cNvSpPr>
      </xdr:nvSpPr>
      <xdr:spPr>
        <a:xfrm>
          <a:off x="1219200" y="66227325"/>
          <a:ext cx="4295775" cy="16192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406</xdr:row>
      <xdr:rowOff>142875</xdr:rowOff>
    </xdr:from>
    <xdr:to>
      <xdr:col>3</xdr:col>
      <xdr:colOff>428625</xdr:colOff>
      <xdr:row>409</xdr:row>
      <xdr:rowOff>38100</xdr:rowOff>
    </xdr:to>
    <xdr:sp>
      <xdr:nvSpPr>
        <xdr:cNvPr id="77" name="Rectangle 77"/>
        <xdr:cNvSpPr>
          <a:spLocks/>
        </xdr:cNvSpPr>
      </xdr:nvSpPr>
      <xdr:spPr>
        <a:xfrm>
          <a:off x="2057400" y="66846450"/>
          <a:ext cx="219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403</xdr:row>
      <xdr:rowOff>9525</xdr:rowOff>
    </xdr:from>
    <xdr:to>
      <xdr:col>2</xdr:col>
      <xdr:colOff>542925</xdr:colOff>
      <xdr:row>413</xdr:row>
      <xdr:rowOff>9525</xdr:rowOff>
    </xdr:to>
    <xdr:sp>
      <xdr:nvSpPr>
        <xdr:cNvPr id="78" name="Rectangle 78"/>
        <xdr:cNvSpPr>
          <a:spLocks/>
        </xdr:cNvSpPr>
      </xdr:nvSpPr>
      <xdr:spPr>
        <a:xfrm>
          <a:off x="1219200" y="66227325"/>
          <a:ext cx="542925" cy="16192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408</xdr:row>
      <xdr:rowOff>0</xdr:rowOff>
    </xdr:from>
    <xdr:to>
      <xdr:col>9</xdr:col>
      <xdr:colOff>381000</xdr:colOff>
      <xdr:row>408</xdr:row>
      <xdr:rowOff>9525</xdr:rowOff>
    </xdr:to>
    <xdr:sp>
      <xdr:nvSpPr>
        <xdr:cNvPr id="79" name="Line 79"/>
        <xdr:cNvSpPr>
          <a:spLocks/>
        </xdr:cNvSpPr>
      </xdr:nvSpPr>
      <xdr:spPr>
        <a:xfrm flipV="1">
          <a:off x="1047750" y="67027425"/>
          <a:ext cx="4838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407</xdr:row>
      <xdr:rowOff>85725</xdr:rowOff>
    </xdr:from>
    <xdr:to>
      <xdr:col>3</xdr:col>
      <xdr:colOff>171450</xdr:colOff>
      <xdr:row>408</xdr:row>
      <xdr:rowOff>47625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866900" y="669512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323850</xdr:colOff>
      <xdr:row>402</xdr:row>
      <xdr:rowOff>38100</xdr:rowOff>
    </xdr:from>
    <xdr:to>
      <xdr:col>3</xdr:col>
      <xdr:colOff>323850</xdr:colOff>
      <xdr:row>415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2171700" y="6609397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450</xdr:row>
      <xdr:rowOff>0</xdr:rowOff>
    </xdr:from>
    <xdr:to>
      <xdr:col>4</xdr:col>
      <xdr:colOff>514350</xdr:colOff>
      <xdr:row>450</xdr:row>
      <xdr:rowOff>0</xdr:rowOff>
    </xdr:to>
    <xdr:sp>
      <xdr:nvSpPr>
        <xdr:cNvPr id="82" name="Line 82"/>
        <xdr:cNvSpPr>
          <a:spLocks/>
        </xdr:cNvSpPr>
      </xdr:nvSpPr>
      <xdr:spPr>
        <a:xfrm>
          <a:off x="1924050" y="739616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448</xdr:row>
      <xdr:rowOff>152400</xdr:rowOff>
    </xdr:from>
    <xdr:to>
      <xdr:col>7</xdr:col>
      <xdr:colOff>361950</xdr:colOff>
      <xdr:row>451</xdr:row>
      <xdr:rowOff>0</xdr:rowOff>
    </xdr:to>
    <xdr:grpSp>
      <xdr:nvGrpSpPr>
        <xdr:cNvPr id="83" name="Group 83"/>
        <xdr:cNvGrpSpPr>
          <a:grpSpLocks/>
        </xdr:cNvGrpSpPr>
      </xdr:nvGrpSpPr>
      <xdr:grpSpPr>
        <a:xfrm>
          <a:off x="3514725" y="73790175"/>
          <a:ext cx="1133475" cy="333375"/>
          <a:chOff x="311" y="4135"/>
          <a:chExt cx="140" cy="35"/>
        </a:xfrm>
        <a:solidFill>
          <a:srgbClr val="FFFFFF"/>
        </a:solidFill>
      </xdr:grpSpPr>
      <xdr:sp>
        <xdr:nvSpPr>
          <xdr:cNvPr id="84" name="Line 84"/>
          <xdr:cNvSpPr>
            <a:spLocks/>
          </xdr:cNvSpPr>
        </xdr:nvSpPr>
        <xdr:spPr>
          <a:xfrm flipH="1">
            <a:off x="316" y="4135"/>
            <a:ext cx="19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311" y="4157"/>
            <a:ext cx="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335" y="4136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114300</xdr:colOff>
      <xdr:row>448</xdr:row>
      <xdr:rowOff>57150</xdr:rowOff>
    </xdr:from>
    <xdr:to>
      <xdr:col>7</xdr:col>
      <xdr:colOff>504825</xdr:colOff>
      <xdr:row>452</xdr:row>
      <xdr:rowOff>19050</xdr:rowOff>
    </xdr:to>
    <xdr:sp>
      <xdr:nvSpPr>
        <xdr:cNvPr id="87" name="AutoShape 87"/>
        <xdr:cNvSpPr>
          <a:spLocks/>
        </xdr:cNvSpPr>
      </xdr:nvSpPr>
      <xdr:spPr>
        <a:xfrm>
          <a:off x="3181350" y="73694925"/>
          <a:ext cx="1609725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449</xdr:row>
      <xdr:rowOff>76200</xdr:rowOff>
    </xdr:from>
    <xdr:to>
      <xdr:col>6</xdr:col>
      <xdr:colOff>247650</xdr:colOff>
      <xdr:row>450</xdr:row>
      <xdr:rowOff>85725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3695700" y="7387590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1 -</a:t>
          </a:r>
        </a:p>
      </xdr:txBody>
    </xdr:sp>
    <xdr:clientData/>
  </xdr:twoCellAnchor>
  <xdr:twoCellAnchor>
    <xdr:from>
      <xdr:col>6</xdr:col>
      <xdr:colOff>314325</xdr:colOff>
      <xdr:row>450</xdr:row>
      <xdr:rowOff>0</xdr:rowOff>
    </xdr:from>
    <xdr:to>
      <xdr:col>7</xdr:col>
      <xdr:colOff>400050</xdr:colOff>
      <xdr:row>450</xdr:row>
      <xdr:rowOff>0</xdr:rowOff>
    </xdr:to>
    <xdr:sp>
      <xdr:nvSpPr>
        <xdr:cNvPr id="89" name="Line 89"/>
        <xdr:cNvSpPr>
          <a:spLocks/>
        </xdr:cNvSpPr>
      </xdr:nvSpPr>
      <xdr:spPr>
        <a:xfrm>
          <a:off x="3990975" y="739616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467</xdr:row>
      <xdr:rowOff>0</xdr:rowOff>
    </xdr:from>
    <xdr:to>
      <xdr:col>4</xdr:col>
      <xdr:colOff>514350</xdr:colOff>
      <xdr:row>467</xdr:row>
      <xdr:rowOff>0</xdr:rowOff>
    </xdr:to>
    <xdr:sp>
      <xdr:nvSpPr>
        <xdr:cNvPr id="90" name="Line 90"/>
        <xdr:cNvSpPr>
          <a:spLocks/>
        </xdr:cNvSpPr>
      </xdr:nvSpPr>
      <xdr:spPr>
        <a:xfrm>
          <a:off x="1924050" y="768096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465</xdr:row>
      <xdr:rowOff>152400</xdr:rowOff>
    </xdr:from>
    <xdr:to>
      <xdr:col>7</xdr:col>
      <xdr:colOff>361950</xdr:colOff>
      <xdr:row>468</xdr:row>
      <xdr:rowOff>0</xdr:rowOff>
    </xdr:to>
    <xdr:grpSp>
      <xdr:nvGrpSpPr>
        <xdr:cNvPr id="91" name="Group 91"/>
        <xdr:cNvGrpSpPr>
          <a:grpSpLocks/>
        </xdr:cNvGrpSpPr>
      </xdr:nvGrpSpPr>
      <xdr:grpSpPr>
        <a:xfrm>
          <a:off x="3514725" y="76638150"/>
          <a:ext cx="1133475" cy="333375"/>
          <a:chOff x="311" y="4135"/>
          <a:chExt cx="140" cy="35"/>
        </a:xfrm>
        <a:solidFill>
          <a:srgbClr val="FFFFFF"/>
        </a:solidFill>
      </xdr:grpSpPr>
      <xdr:sp>
        <xdr:nvSpPr>
          <xdr:cNvPr id="92" name="Line 92"/>
          <xdr:cNvSpPr>
            <a:spLocks/>
          </xdr:cNvSpPr>
        </xdr:nvSpPr>
        <xdr:spPr>
          <a:xfrm flipH="1">
            <a:off x="316" y="4135"/>
            <a:ext cx="19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11" y="4157"/>
            <a:ext cx="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335" y="4136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114300</xdr:colOff>
      <xdr:row>465</xdr:row>
      <xdr:rowOff>57150</xdr:rowOff>
    </xdr:from>
    <xdr:to>
      <xdr:col>7</xdr:col>
      <xdr:colOff>504825</xdr:colOff>
      <xdr:row>469</xdr:row>
      <xdr:rowOff>19050</xdr:rowOff>
    </xdr:to>
    <xdr:sp>
      <xdr:nvSpPr>
        <xdr:cNvPr id="95" name="AutoShape 95"/>
        <xdr:cNvSpPr>
          <a:spLocks/>
        </xdr:cNvSpPr>
      </xdr:nvSpPr>
      <xdr:spPr>
        <a:xfrm>
          <a:off x="3181350" y="76542900"/>
          <a:ext cx="1609725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466</xdr:row>
      <xdr:rowOff>76200</xdr:rowOff>
    </xdr:from>
    <xdr:to>
      <xdr:col>6</xdr:col>
      <xdr:colOff>247650</xdr:colOff>
      <xdr:row>467</xdr:row>
      <xdr:rowOff>85725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695700" y="767238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1 -</a:t>
          </a:r>
        </a:p>
      </xdr:txBody>
    </xdr:sp>
    <xdr:clientData/>
  </xdr:twoCellAnchor>
  <xdr:twoCellAnchor>
    <xdr:from>
      <xdr:col>6</xdr:col>
      <xdr:colOff>314325</xdr:colOff>
      <xdr:row>467</xdr:row>
      <xdr:rowOff>0</xdr:rowOff>
    </xdr:from>
    <xdr:to>
      <xdr:col>7</xdr:col>
      <xdr:colOff>400050</xdr:colOff>
      <xdr:row>467</xdr:row>
      <xdr:rowOff>0</xdr:rowOff>
    </xdr:to>
    <xdr:sp>
      <xdr:nvSpPr>
        <xdr:cNvPr id="97" name="Line 97"/>
        <xdr:cNvSpPr>
          <a:spLocks/>
        </xdr:cNvSpPr>
      </xdr:nvSpPr>
      <xdr:spPr>
        <a:xfrm>
          <a:off x="3990975" y="76809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406</xdr:row>
      <xdr:rowOff>142875</xdr:rowOff>
    </xdr:from>
    <xdr:to>
      <xdr:col>7</xdr:col>
      <xdr:colOff>171450</xdr:colOff>
      <xdr:row>409</xdr:row>
      <xdr:rowOff>38100</xdr:rowOff>
    </xdr:to>
    <xdr:sp>
      <xdr:nvSpPr>
        <xdr:cNvPr id="98" name="Rectangle 98"/>
        <xdr:cNvSpPr>
          <a:spLocks/>
        </xdr:cNvSpPr>
      </xdr:nvSpPr>
      <xdr:spPr>
        <a:xfrm>
          <a:off x="4181475" y="66846450"/>
          <a:ext cx="2762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402</xdr:row>
      <xdr:rowOff>38100</xdr:rowOff>
    </xdr:from>
    <xdr:to>
      <xdr:col>7</xdr:col>
      <xdr:colOff>66675</xdr:colOff>
      <xdr:row>415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343400" y="66093975"/>
          <a:ext cx="9525" cy="2085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401</xdr:row>
      <xdr:rowOff>9525</xdr:rowOff>
    </xdr:from>
    <xdr:to>
      <xdr:col>5</xdr:col>
      <xdr:colOff>228600</xdr:colOff>
      <xdr:row>413</xdr:row>
      <xdr:rowOff>142875</xdr:rowOff>
    </xdr:to>
    <xdr:sp>
      <xdr:nvSpPr>
        <xdr:cNvPr id="100" name="Line 100"/>
        <xdr:cNvSpPr>
          <a:spLocks/>
        </xdr:cNvSpPr>
      </xdr:nvSpPr>
      <xdr:spPr>
        <a:xfrm>
          <a:off x="3295650" y="6590347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403</xdr:row>
      <xdr:rowOff>9525</xdr:rowOff>
    </xdr:from>
    <xdr:to>
      <xdr:col>9</xdr:col>
      <xdr:colOff>9525</xdr:colOff>
      <xdr:row>405</xdr:row>
      <xdr:rowOff>95250</xdr:rowOff>
    </xdr:to>
    <xdr:sp>
      <xdr:nvSpPr>
        <xdr:cNvPr id="101" name="Rectangle 101"/>
        <xdr:cNvSpPr>
          <a:spLocks/>
        </xdr:cNvSpPr>
      </xdr:nvSpPr>
      <xdr:spPr>
        <a:xfrm rot="5400000">
          <a:off x="3295650" y="66227325"/>
          <a:ext cx="2219325" cy="4095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415</xdr:row>
      <xdr:rowOff>0</xdr:rowOff>
    </xdr:from>
    <xdr:to>
      <xdr:col>7</xdr:col>
      <xdr:colOff>47625</xdr:colOff>
      <xdr:row>415</xdr:row>
      <xdr:rowOff>0</xdr:rowOff>
    </xdr:to>
    <xdr:sp>
      <xdr:nvSpPr>
        <xdr:cNvPr id="102" name="Line 102"/>
        <xdr:cNvSpPr>
          <a:spLocks/>
        </xdr:cNvSpPr>
      </xdr:nvSpPr>
      <xdr:spPr>
        <a:xfrm>
          <a:off x="2171700" y="68160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413</xdr:row>
      <xdr:rowOff>142875</xdr:rowOff>
    </xdr:from>
    <xdr:to>
      <xdr:col>2</xdr:col>
      <xdr:colOff>0</xdr:colOff>
      <xdr:row>415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1219200" y="67979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415</xdr:row>
      <xdr:rowOff>0</xdr:rowOff>
    </xdr:from>
    <xdr:to>
      <xdr:col>3</xdr:col>
      <xdr:colOff>323850</xdr:colOff>
      <xdr:row>415</xdr:row>
      <xdr:rowOff>0</xdr:rowOff>
    </xdr:to>
    <xdr:sp>
      <xdr:nvSpPr>
        <xdr:cNvPr id="104" name="Line 104"/>
        <xdr:cNvSpPr>
          <a:spLocks/>
        </xdr:cNvSpPr>
      </xdr:nvSpPr>
      <xdr:spPr>
        <a:xfrm>
          <a:off x="1152525" y="68160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403</xdr:row>
      <xdr:rowOff>9525</xdr:rowOff>
    </xdr:from>
    <xdr:to>
      <xdr:col>5</xdr:col>
      <xdr:colOff>228600</xdr:colOff>
      <xdr:row>413</xdr:row>
      <xdr:rowOff>9525</xdr:rowOff>
    </xdr:to>
    <xdr:sp>
      <xdr:nvSpPr>
        <xdr:cNvPr id="105" name="Rectangle 105"/>
        <xdr:cNvSpPr>
          <a:spLocks/>
        </xdr:cNvSpPr>
      </xdr:nvSpPr>
      <xdr:spPr>
        <a:xfrm>
          <a:off x="2676525" y="66227325"/>
          <a:ext cx="619125" cy="16192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410</xdr:row>
      <xdr:rowOff>85725</xdr:rowOff>
    </xdr:from>
    <xdr:to>
      <xdr:col>9</xdr:col>
      <xdr:colOff>0</xdr:colOff>
      <xdr:row>413</xdr:row>
      <xdr:rowOff>9525</xdr:rowOff>
    </xdr:to>
    <xdr:sp>
      <xdr:nvSpPr>
        <xdr:cNvPr id="106" name="Rectangle 106"/>
        <xdr:cNvSpPr>
          <a:spLocks/>
        </xdr:cNvSpPr>
      </xdr:nvSpPr>
      <xdr:spPr>
        <a:xfrm rot="5400000">
          <a:off x="3295650" y="67437000"/>
          <a:ext cx="2209800" cy="4095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405</xdr:row>
      <xdr:rowOff>133350</xdr:rowOff>
    </xdr:from>
    <xdr:to>
      <xdr:col>7</xdr:col>
      <xdr:colOff>238125</xdr:colOff>
      <xdr:row>406</xdr:row>
      <xdr:rowOff>85725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381500" y="666750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323850</xdr:colOff>
      <xdr:row>414</xdr:row>
      <xdr:rowOff>9525</xdr:rowOff>
    </xdr:from>
    <xdr:to>
      <xdr:col>4</xdr:col>
      <xdr:colOff>209550</xdr:colOff>
      <xdr:row>414</xdr:row>
      <xdr:rowOff>9525</xdr:rowOff>
    </xdr:to>
    <xdr:sp>
      <xdr:nvSpPr>
        <xdr:cNvPr id="108" name="Line 108"/>
        <xdr:cNvSpPr>
          <a:spLocks/>
        </xdr:cNvSpPr>
      </xdr:nvSpPr>
      <xdr:spPr>
        <a:xfrm>
          <a:off x="2171700" y="68008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413</xdr:row>
      <xdr:rowOff>47625</xdr:rowOff>
    </xdr:from>
    <xdr:to>
      <xdr:col>4</xdr:col>
      <xdr:colOff>209550</xdr:colOff>
      <xdr:row>414</xdr:row>
      <xdr:rowOff>104775</xdr:rowOff>
    </xdr:to>
    <xdr:sp>
      <xdr:nvSpPr>
        <xdr:cNvPr id="109" name="Line 109"/>
        <xdr:cNvSpPr>
          <a:spLocks/>
        </xdr:cNvSpPr>
      </xdr:nvSpPr>
      <xdr:spPr>
        <a:xfrm>
          <a:off x="2667000" y="678846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413</xdr:row>
      <xdr:rowOff>38100</xdr:rowOff>
    </xdr:from>
    <xdr:to>
      <xdr:col>5</xdr:col>
      <xdr:colOff>228600</xdr:colOff>
      <xdr:row>414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3295650" y="67875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414</xdr:row>
      <xdr:rowOff>0</xdr:rowOff>
    </xdr:from>
    <xdr:to>
      <xdr:col>5</xdr:col>
      <xdr:colOff>219075</xdr:colOff>
      <xdr:row>414</xdr:row>
      <xdr:rowOff>0</xdr:rowOff>
    </xdr:to>
    <xdr:sp>
      <xdr:nvSpPr>
        <xdr:cNvPr id="111" name="Line 111"/>
        <xdr:cNvSpPr>
          <a:spLocks/>
        </xdr:cNvSpPr>
      </xdr:nvSpPr>
      <xdr:spPr>
        <a:xfrm>
          <a:off x="2667000" y="67998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403</xdr:row>
      <xdr:rowOff>0</xdr:rowOff>
    </xdr:from>
    <xdr:to>
      <xdr:col>1</xdr:col>
      <xdr:colOff>276225</xdr:colOff>
      <xdr:row>413</xdr:row>
      <xdr:rowOff>0</xdr:rowOff>
    </xdr:to>
    <xdr:sp>
      <xdr:nvSpPr>
        <xdr:cNvPr id="112" name="Line 112"/>
        <xdr:cNvSpPr>
          <a:spLocks/>
        </xdr:cNvSpPr>
      </xdr:nvSpPr>
      <xdr:spPr>
        <a:xfrm>
          <a:off x="885825" y="662178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403</xdr:row>
      <xdr:rowOff>9525</xdr:rowOff>
    </xdr:from>
    <xdr:to>
      <xdr:col>1</xdr:col>
      <xdr:colOff>438150</xdr:colOff>
      <xdr:row>403</xdr:row>
      <xdr:rowOff>9525</xdr:rowOff>
    </xdr:to>
    <xdr:sp>
      <xdr:nvSpPr>
        <xdr:cNvPr id="113" name="Line 113"/>
        <xdr:cNvSpPr>
          <a:spLocks/>
        </xdr:cNvSpPr>
      </xdr:nvSpPr>
      <xdr:spPr>
        <a:xfrm>
          <a:off x="781050" y="66227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413</xdr:row>
      <xdr:rowOff>9525</xdr:rowOff>
    </xdr:from>
    <xdr:to>
      <xdr:col>1</xdr:col>
      <xdr:colOff>438150</xdr:colOff>
      <xdr:row>413</xdr:row>
      <xdr:rowOff>9525</xdr:rowOff>
    </xdr:to>
    <xdr:sp>
      <xdr:nvSpPr>
        <xdr:cNvPr id="114" name="Line 114"/>
        <xdr:cNvSpPr>
          <a:spLocks/>
        </xdr:cNvSpPr>
      </xdr:nvSpPr>
      <xdr:spPr>
        <a:xfrm>
          <a:off x="781050" y="67846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402</xdr:row>
      <xdr:rowOff>9525</xdr:rowOff>
    </xdr:from>
    <xdr:to>
      <xdr:col>9</xdr:col>
      <xdr:colOff>9525</xdr:colOff>
      <xdr:row>402</xdr:row>
      <xdr:rowOff>9525</xdr:rowOff>
    </xdr:to>
    <xdr:sp>
      <xdr:nvSpPr>
        <xdr:cNvPr id="115" name="Line 115"/>
        <xdr:cNvSpPr>
          <a:spLocks/>
        </xdr:cNvSpPr>
      </xdr:nvSpPr>
      <xdr:spPr>
        <a:xfrm>
          <a:off x="3295650" y="660654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401</xdr:row>
      <xdr:rowOff>104775</xdr:rowOff>
    </xdr:from>
    <xdr:to>
      <xdr:col>9</xdr:col>
      <xdr:colOff>9525</xdr:colOff>
      <xdr:row>402</xdr:row>
      <xdr:rowOff>133350</xdr:rowOff>
    </xdr:to>
    <xdr:sp>
      <xdr:nvSpPr>
        <xdr:cNvPr id="116" name="Line 116"/>
        <xdr:cNvSpPr>
          <a:spLocks/>
        </xdr:cNvSpPr>
      </xdr:nvSpPr>
      <xdr:spPr>
        <a:xfrm>
          <a:off x="5505450" y="659987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403</xdr:row>
      <xdr:rowOff>9525</xdr:rowOff>
    </xdr:from>
    <xdr:to>
      <xdr:col>9</xdr:col>
      <xdr:colOff>428625</xdr:colOff>
      <xdr:row>403</xdr:row>
      <xdr:rowOff>9525</xdr:rowOff>
    </xdr:to>
    <xdr:sp>
      <xdr:nvSpPr>
        <xdr:cNvPr id="117" name="Line 117"/>
        <xdr:cNvSpPr>
          <a:spLocks/>
        </xdr:cNvSpPr>
      </xdr:nvSpPr>
      <xdr:spPr>
        <a:xfrm>
          <a:off x="5581650" y="66227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405</xdr:row>
      <xdr:rowOff>85725</xdr:rowOff>
    </xdr:from>
    <xdr:to>
      <xdr:col>9</xdr:col>
      <xdr:colOff>419100</xdr:colOff>
      <xdr:row>405</xdr:row>
      <xdr:rowOff>85725</xdr:rowOff>
    </xdr:to>
    <xdr:sp>
      <xdr:nvSpPr>
        <xdr:cNvPr id="118" name="Line 118"/>
        <xdr:cNvSpPr>
          <a:spLocks/>
        </xdr:cNvSpPr>
      </xdr:nvSpPr>
      <xdr:spPr>
        <a:xfrm>
          <a:off x="5572125" y="66627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403</xdr:row>
      <xdr:rowOff>0</xdr:rowOff>
    </xdr:from>
    <xdr:to>
      <xdr:col>9</xdr:col>
      <xdr:colOff>276225</xdr:colOff>
      <xdr:row>405</xdr:row>
      <xdr:rowOff>85725</xdr:rowOff>
    </xdr:to>
    <xdr:sp>
      <xdr:nvSpPr>
        <xdr:cNvPr id="119" name="Line 119"/>
        <xdr:cNvSpPr>
          <a:spLocks/>
        </xdr:cNvSpPr>
      </xdr:nvSpPr>
      <xdr:spPr>
        <a:xfrm>
          <a:off x="5781675" y="66217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414</xdr:row>
      <xdr:rowOff>0</xdr:rowOff>
    </xdr:from>
    <xdr:to>
      <xdr:col>2</xdr:col>
      <xdr:colOff>542925</xdr:colOff>
      <xdr:row>414</xdr:row>
      <xdr:rowOff>0</xdr:rowOff>
    </xdr:to>
    <xdr:sp>
      <xdr:nvSpPr>
        <xdr:cNvPr id="120" name="Line 120"/>
        <xdr:cNvSpPr>
          <a:spLocks/>
        </xdr:cNvSpPr>
      </xdr:nvSpPr>
      <xdr:spPr>
        <a:xfrm>
          <a:off x="1219200" y="67998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413</xdr:row>
      <xdr:rowOff>28575</xdr:rowOff>
    </xdr:from>
    <xdr:to>
      <xdr:col>2</xdr:col>
      <xdr:colOff>542925</xdr:colOff>
      <xdr:row>414</xdr:row>
      <xdr:rowOff>47625</xdr:rowOff>
    </xdr:to>
    <xdr:sp>
      <xdr:nvSpPr>
        <xdr:cNvPr id="121" name="Line 121"/>
        <xdr:cNvSpPr>
          <a:spLocks/>
        </xdr:cNvSpPr>
      </xdr:nvSpPr>
      <xdr:spPr>
        <a:xfrm>
          <a:off x="1762125" y="67865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353</xdr:row>
      <xdr:rowOff>123825</xdr:rowOff>
    </xdr:from>
    <xdr:to>
      <xdr:col>8</xdr:col>
      <xdr:colOff>19050</xdr:colOff>
      <xdr:row>356</xdr:row>
      <xdr:rowOff>19050</xdr:rowOff>
    </xdr:to>
    <xdr:sp>
      <xdr:nvSpPr>
        <xdr:cNvPr id="122" name="Rectangle 122"/>
        <xdr:cNvSpPr>
          <a:spLocks/>
        </xdr:cNvSpPr>
      </xdr:nvSpPr>
      <xdr:spPr>
        <a:xfrm>
          <a:off x="4610100" y="58035825"/>
          <a:ext cx="304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355</xdr:row>
      <xdr:rowOff>0</xdr:rowOff>
    </xdr:from>
    <xdr:to>
      <xdr:col>9</xdr:col>
      <xdr:colOff>247650</xdr:colOff>
      <xdr:row>355</xdr:row>
      <xdr:rowOff>9525</xdr:rowOff>
    </xdr:to>
    <xdr:sp>
      <xdr:nvSpPr>
        <xdr:cNvPr id="123" name="Line 123"/>
        <xdr:cNvSpPr>
          <a:spLocks/>
        </xdr:cNvSpPr>
      </xdr:nvSpPr>
      <xdr:spPr>
        <a:xfrm>
          <a:off x="1638300" y="58235850"/>
          <a:ext cx="4114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349</xdr:row>
      <xdr:rowOff>19050</xdr:rowOff>
    </xdr:from>
    <xdr:to>
      <xdr:col>7</xdr:col>
      <xdr:colOff>466725</xdr:colOff>
      <xdr:row>360</xdr:row>
      <xdr:rowOff>152400</xdr:rowOff>
    </xdr:to>
    <xdr:sp>
      <xdr:nvSpPr>
        <xdr:cNvPr id="124" name="Line 124"/>
        <xdr:cNvSpPr>
          <a:spLocks/>
        </xdr:cNvSpPr>
      </xdr:nvSpPr>
      <xdr:spPr>
        <a:xfrm>
          <a:off x="4752975" y="5728335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361</xdr:row>
      <xdr:rowOff>0</xdr:rowOff>
    </xdr:from>
    <xdr:to>
      <xdr:col>6</xdr:col>
      <xdr:colOff>200025</xdr:colOff>
      <xdr:row>361</xdr:row>
      <xdr:rowOff>0</xdr:rowOff>
    </xdr:to>
    <xdr:sp>
      <xdr:nvSpPr>
        <xdr:cNvPr id="125" name="Line 125"/>
        <xdr:cNvSpPr>
          <a:spLocks/>
        </xdr:cNvSpPr>
      </xdr:nvSpPr>
      <xdr:spPr>
        <a:xfrm>
          <a:off x="2790825" y="592074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361</xdr:row>
      <xdr:rowOff>0</xdr:rowOff>
    </xdr:from>
    <xdr:to>
      <xdr:col>4</xdr:col>
      <xdr:colOff>323850</xdr:colOff>
      <xdr:row>361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2181225" y="592074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360</xdr:row>
      <xdr:rowOff>47625</xdr:rowOff>
    </xdr:from>
    <xdr:to>
      <xdr:col>3</xdr:col>
      <xdr:colOff>323850</xdr:colOff>
      <xdr:row>361</xdr:row>
      <xdr:rowOff>47625</xdr:rowOff>
    </xdr:to>
    <xdr:sp>
      <xdr:nvSpPr>
        <xdr:cNvPr id="127" name="Line 127"/>
        <xdr:cNvSpPr>
          <a:spLocks/>
        </xdr:cNvSpPr>
      </xdr:nvSpPr>
      <xdr:spPr>
        <a:xfrm>
          <a:off x="2171700" y="59093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360</xdr:row>
      <xdr:rowOff>47625</xdr:rowOff>
    </xdr:from>
    <xdr:to>
      <xdr:col>6</xdr:col>
      <xdr:colOff>209550</xdr:colOff>
      <xdr:row>361</xdr:row>
      <xdr:rowOff>47625</xdr:rowOff>
    </xdr:to>
    <xdr:sp>
      <xdr:nvSpPr>
        <xdr:cNvPr id="128" name="Line 128"/>
        <xdr:cNvSpPr>
          <a:spLocks/>
        </xdr:cNvSpPr>
      </xdr:nvSpPr>
      <xdr:spPr>
        <a:xfrm>
          <a:off x="3886200" y="59093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350</xdr:row>
      <xdr:rowOff>9525</xdr:rowOff>
    </xdr:from>
    <xdr:to>
      <xdr:col>3</xdr:col>
      <xdr:colOff>285750</xdr:colOff>
      <xdr:row>350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1752600" y="5743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350</xdr:row>
      <xdr:rowOff>19050</xdr:rowOff>
    </xdr:from>
    <xdr:to>
      <xdr:col>3</xdr:col>
      <xdr:colOff>0</xdr:colOff>
      <xdr:row>360</xdr:row>
      <xdr:rowOff>9525</xdr:rowOff>
    </xdr:to>
    <xdr:sp>
      <xdr:nvSpPr>
        <xdr:cNvPr id="130" name="Line 130"/>
        <xdr:cNvSpPr>
          <a:spLocks/>
        </xdr:cNvSpPr>
      </xdr:nvSpPr>
      <xdr:spPr>
        <a:xfrm>
          <a:off x="1847850" y="5744527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360</xdr:row>
      <xdr:rowOff>9525</xdr:rowOff>
    </xdr:from>
    <xdr:to>
      <xdr:col>3</xdr:col>
      <xdr:colOff>266700</xdr:colOff>
      <xdr:row>360</xdr:row>
      <xdr:rowOff>9525</xdr:rowOff>
    </xdr:to>
    <xdr:sp>
      <xdr:nvSpPr>
        <xdr:cNvPr id="131" name="Line 131"/>
        <xdr:cNvSpPr>
          <a:spLocks/>
        </xdr:cNvSpPr>
      </xdr:nvSpPr>
      <xdr:spPr>
        <a:xfrm>
          <a:off x="1752600" y="59055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413</xdr:row>
      <xdr:rowOff>47625</xdr:rowOff>
    </xdr:from>
    <xdr:to>
      <xdr:col>4</xdr:col>
      <xdr:colOff>209550</xdr:colOff>
      <xdr:row>414</xdr:row>
      <xdr:rowOff>104775</xdr:rowOff>
    </xdr:to>
    <xdr:sp>
      <xdr:nvSpPr>
        <xdr:cNvPr id="132" name="Line 132"/>
        <xdr:cNvSpPr>
          <a:spLocks/>
        </xdr:cNvSpPr>
      </xdr:nvSpPr>
      <xdr:spPr>
        <a:xfrm>
          <a:off x="2667000" y="678846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413</xdr:row>
      <xdr:rowOff>47625</xdr:rowOff>
    </xdr:from>
    <xdr:to>
      <xdr:col>4</xdr:col>
      <xdr:colOff>209550</xdr:colOff>
      <xdr:row>414</xdr:row>
      <xdr:rowOff>104775</xdr:rowOff>
    </xdr:to>
    <xdr:sp>
      <xdr:nvSpPr>
        <xdr:cNvPr id="133" name="Line 133"/>
        <xdr:cNvSpPr>
          <a:spLocks/>
        </xdr:cNvSpPr>
      </xdr:nvSpPr>
      <xdr:spPr>
        <a:xfrm>
          <a:off x="2667000" y="678846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2"/>
        <a:srcRect l="7246"/>
        <a:stretch>
          <a:fillRect/>
        </a:stretch>
      </xdr:blipFill>
      <xdr:spPr>
        <a:xfrm>
          <a:off x="10477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296</xdr:row>
      <xdr:rowOff>123825</xdr:rowOff>
    </xdr:from>
    <xdr:to>
      <xdr:col>6</xdr:col>
      <xdr:colOff>152400</xdr:colOff>
      <xdr:row>296</xdr:row>
      <xdr:rowOff>123825</xdr:rowOff>
    </xdr:to>
    <xdr:sp>
      <xdr:nvSpPr>
        <xdr:cNvPr id="136" name="Line 137"/>
        <xdr:cNvSpPr>
          <a:spLocks/>
        </xdr:cNvSpPr>
      </xdr:nvSpPr>
      <xdr:spPr>
        <a:xfrm>
          <a:off x="1323975" y="484632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291</xdr:row>
      <xdr:rowOff>9525</xdr:rowOff>
    </xdr:from>
    <xdr:to>
      <xdr:col>4</xdr:col>
      <xdr:colOff>323850</xdr:colOff>
      <xdr:row>301</xdr:row>
      <xdr:rowOff>57150</xdr:rowOff>
    </xdr:to>
    <xdr:sp>
      <xdr:nvSpPr>
        <xdr:cNvPr id="137" name="Line 138"/>
        <xdr:cNvSpPr>
          <a:spLocks/>
        </xdr:cNvSpPr>
      </xdr:nvSpPr>
      <xdr:spPr>
        <a:xfrm flipH="1">
          <a:off x="2771775" y="47539275"/>
          <a:ext cx="9525" cy="16668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294</xdr:row>
      <xdr:rowOff>28575</xdr:rowOff>
    </xdr:from>
    <xdr:to>
      <xdr:col>5</xdr:col>
      <xdr:colOff>590550</xdr:colOff>
      <xdr:row>299</xdr:row>
      <xdr:rowOff>133350</xdr:rowOff>
    </xdr:to>
    <xdr:sp>
      <xdr:nvSpPr>
        <xdr:cNvPr id="138" name="Rectangle 139"/>
        <xdr:cNvSpPr>
          <a:spLocks/>
        </xdr:cNvSpPr>
      </xdr:nvSpPr>
      <xdr:spPr>
        <a:xfrm>
          <a:off x="1895475" y="48044100"/>
          <a:ext cx="176212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302</xdr:row>
      <xdr:rowOff>0</xdr:rowOff>
    </xdr:from>
    <xdr:to>
      <xdr:col>6</xdr:col>
      <xdr:colOff>57150</xdr:colOff>
      <xdr:row>302</xdr:row>
      <xdr:rowOff>0</xdr:rowOff>
    </xdr:to>
    <xdr:sp>
      <xdr:nvSpPr>
        <xdr:cNvPr id="139" name="Line 140"/>
        <xdr:cNvSpPr>
          <a:spLocks/>
        </xdr:cNvSpPr>
      </xdr:nvSpPr>
      <xdr:spPr>
        <a:xfrm>
          <a:off x="1847850" y="49310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301</xdr:row>
      <xdr:rowOff>104775</xdr:rowOff>
    </xdr:from>
    <xdr:to>
      <xdr:col>3</xdr:col>
      <xdr:colOff>47625</xdr:colOff>
      <xdr:row>302</xdr:row>
      <xdr:rowOff>38100</xdr:rowOff>
    </xdr:to>
    <xdr:sp>
      <xdr:nvSpPr>
        <xdr:cNvPr id="140" name="Line 141"/>
        <xdr:cNvSpPr>
          <a:spLocks/>
        </xdr:cNvSpPr>
      </xdr:nvSpPr>
      <xdr:spPr>
        <a:xfrm>
          <a:off x="1895475" y="49253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301</xdr:row>
      <xdr:rowOff>114300</xdr:rowOff>
    </xdr:from>
    <xdr:to>
      <xdr:col>4</xdr:col>
      <xdr:colOff>590550</xdr:colOff>
      <xdr:row>302</xdr:row>
      <xdr:rowOff>38100</xdr:rowOff>
    </xdr:to>
    <xdr:sp>
      <xdr:nvSpPr>
        <xdr:cNvPr id="141" name="Line 142"/>
        <xdr:cNvSpPr>
          <a:spLocks/>
        </xdr:cNvSpPr>
      </xdr:nvSpPr>
      <xdr:spPr>
        <a:xfrm>
          <a:off x="3048000" y="492633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293</xdr:row>
      <xdr:rowOff>66675</xdr:rowOff>
    </xdr:from>
    <xdr:to>
      <xdr:col>6</xdr:col>
      <xdr:colOff>266700</xdr:colOff>
      <xdr:row>300</xdr:row>
      <xdr:rowOff>57150</xdr:rowOff>
    </xdr:to>
    <xdr:sp>
      <xdr:nvSpPr>
        <xdr:cNvPr id="142" name="Line 143"/>
        <xdr:cNvSpPr>
          <a:spLocks/>
        </xdr:cNvSpPr>
      </xdr:nvSpPr>
      <xdr:spPr>
        <a:xfrm flipH="1">
          <a:off x="3943350" y="479202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294</xdr:row>
      <xdr:rowOff>38100</xdr:rowOff>
    </xdr:from>
    <xdr:to>
      <xdr:col>6</xdr:col>
      <xdr:colOff>285750</xdr:colOff>
      <xdr:row>294</xdr:row>
      <xdr:rowOff>38100</xdr:rowOff>
    </xdr:to>
    <xdr:sp>
      <xdr:nvSpPr>
        <xdr:cNvPr id="143" name="Line 144"/>
        <xdr:cNvSpPr>
          <a:spLocks/>
        </xdr:cNvSpPr>
      </xdr:nvSpPr>
      <xdr:spPr>
        <a:xfrm>
          <a:off x="3895725" y="4805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299</xdr:row>
      <xdr:rowOff>133350</xdr:rowOff>
    </xdr:from>
    <xdr:to>
      <xdr:col>6</xdr:col>
      <xdr:colOff>323850</xdr:colOff>
      <xdr:row>299</xdr:row>
      <xdr:rowOff>133350</xdr:rowOff>
    </xdr:to>
    <xdr:sp>
      <xdr:nvSpPr>
        <xdr:cNvPr id="144" name="Line 145"/>
        <xdr:cNvSpPr>
          <a:spLocks/>
        </xdr:cNvSpPr>
      </xdr:nvSpPr>
      <xdr:spPr>
        <a:xfrm>
          <a:off x="3876675" y="48958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295</xdr:row>
      <xdr:rowOff>142875</xdr:rowOff>
    </xdr:from>
    <xdr:to>
      <xdr:col>2</xdr:col>
      <xdr:colOff>209550</xdr:colOff>
      <xdr:row>297</xdr:row>
      <xdr:rowOff>95250</xdr:rowOff>
    </xdr:to>
    <xdr:sp>
      <xdr:nvSpPr>
        <xdr:cNvPr id="145" name="AutoShape 146"/>
        <xdr:cNvSpPr>
          <a:spLocks/>
        </xdr:cNvSpPr>
      </xdr:nvSpPr>
      <xdr:spPr>
        <a:xfrm rot="10554862">
          <a:off x="1190625" y="48320325"/>
          <a:ext cx="238125" cy="27622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523875</xdr:colOff>
      <xdr:row>297</xdr:row>
      <xdr:rowOff>9525</xdr:rowOff>
    </xdr:from>
    <xdr:ext cx="142875" cy="238125"/>
    <xdr:sp>
      <xdr:nvSpPr>
        <xdr:cNvPr id="146" name="TextBox 147"/>
        <xdr:cNvSpPr txBox="1">
          <a:spLocks noChangeArrowheads="1"/>
        </xdr:cNvSpPr>
      </xdr:nvSpPr>
      <xdr:spPr>
        <a:xfrm>
          <a:off x="1743075" y="48510825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6</xdr:col>
      <xdr:colOff>76200</xdr:colOff>
      <xdr:row>297</xdr:row>
      <xdr:rowOff>9525</xdr:rowOff>
    </xdr:from>
    <xdr:ext cx="142875" cy="238125"/>
    <xdr:sp>
      <xdr:nvSpPr>
        <xdr:cNvPr id="147" name="TextBox 148"/>
        <xdr:cNvSpPr txBox="1">
          <a:spLocks noChangeArrowheads="1"/>
        </xdr:cNvSpPr>
      </xdr:nvSpPr>
      <xdr:spPr>
        <a:xfrm>
          <a:off x="3752850" y="48510825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1</xdr:col>
      <xdr:colOff>352425</xdr:colOff>
      <xdr:row>295</xdr:row>
      <xdr:rowOff>76200</xdr:rowOff>
    </xdr:from>
    <xdr:ext cx="400050" cy="200025"/>
    <xdr:sp>
      <xdr:nvSpPr>
        <xdr:cNvPr id="148" name="TextBox 149"/>
        <xdr:cNvSpPr txBox="1">
          <a:spLocks noChangeArrowheads="1"/>
        </xdr:cNvSpPr>
      </xdr:nvSpPr>
      <xdr:spPr>
        <a:xfrm>
          <a:off x="962025" y="482536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</a:t>
          </a:r>
        </a:p>
      </xdr:txBody>
    </xdr:sp>
    <xdr:clientData/>
  </xdr:oneCellAnchor>
  <xdr:twoCellAnchor>
    <xdr:from>
      <xdr:col>5</xdr:col>
      <xdr:colOff>180975</xdr:colOff>
      <xdr:row>295</xdr:row>
      <xdr:rowOff>38100</xdr:rowOff>
    </xdr:from>
    <xdr:to>
      <xdr:col>5</xdr:col>
      <xdr:colOff>209550</xdr:colOff>
      <xdr:row>295</xdr:row>
      <xdr:rowOff>123825</xdr:rowOff>
    </xdr:to>
    <xdr:sp>
      <xdr:nvSpPr>
        <xdr:cNvPr id="149" name="Oval 150"/>
        <xdr:cNvSpPr>
          <a:spLocks/>
        </xdr:cNvSpPr>
      </xdr:nvSpPr>
      <xdr:spPr>
        <a:xfrm>
          <a:off x="3248025" y="48215550"/>
          <a:ext cx="28575" cy="8572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238125</xdr:colOff>
      <xdr:row>294</xdr:row>
      <xdr:rowOff>142875</xdr:rowOff>
    </xdr:from>
    <xdr:ext cx="257175" cy="190500"/>
    <xdr:sp>
      <xdr:nvSpPr>
        <xdr:cNvPr id="150" name="TextBox 151"/>
        <xdr:cNvSpPr txBox="1">
          <a:spLocks noChangeArrowheads="1"/>
        </xdr:cNvSpPr>
      </xdr:nvSpPr>
      <xdr:spPr>
        <a:xfrm>
          <a:off x="3305175" y="481584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4</xdr:col>
      <xdr:colOff>190500</xdr:colOff>
      <xdr:row>292</xdr:row>
      <xdr:rowOff>47625</xdr:rowOff>
    </xdr:from>
    <xdr:to>
      <xdr:col>4</xdr:col>
      <xdr:colOff>466725</xdr:colOff>
      <xdr:row>293</xdr:row>
      <xdr:rowOff>133350</xdr:rowOff>
    </xdr:to>
    <xdr:sp>
      <xdr:nvSpPr>
        <xdr:cNvPr id="151" name="AutoShape 152"/>
        <xdr:cNvSpPr>
          <a:spLocks/>
        </xdr:cNvSpPr>
      </xdr:nvSpPr>
      <xdr:spPr>
        <a:xfrm rot="16200000">
          <a:off x="2647950" y="47739300"/>
          <a:ext cx="276225" cy="2476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342900</xdr:colOff>
      <xdr:row>291</xdr:row>
      <xdr:rowOff>123825</xdr:rowOff>
    </xdr:from>
    <xdr:ext cx="285750" cy="238125"/>
    <xdr:sp>
      <xdr:nvSpPr>
        <xdr:cNvPr id="152" name="TextBox 153"/>
        <xdr:cNvSpPr txBox="1">
          <a:spLocks noChangeArrowheads="1"/>
        </xdr:cNvSpPr>
      </xdr:nvSpPr>
      <xdr:spPr>
        <a:xfrm>
          <a:off x="2800350" y="476535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My</a:t>
          </a:r>
        </a:p>
      </xdr:txBody>
    </xdr:sp>
    <xdr:clientData/>
  </xdr:oneCellAnchor>
  <xdr:oneCellAnchor>
    <xdr:from>
      <xdr:col>4</xdr:col>
      <xdr:colOff>190500</xdr:colOff>
      <xdr:row>290</xdr:row>
      <xdr:rowOff>66675</xdr:rowOff>
    </xdr:from>
    <xdr:ext cx="238125" cy="200025"/>
    <xdr:sp>
      <xdr:nvSpPr>
        <xdr:cNvPr id="153" name="TextBox 154"/>
        <xdr:cNvSpPr txBox="1">
          <a:spLocks noChangeArrowheads="1"/>
        </xdr:cNvSpPr>
      </xdr:nvSpPr>
      <xdr:spPr>
        <a:xfrm>
          <a:off x="2647950" y="474345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4</xdr:col>
      <xdr:colOff>142875</xdr:colOff>
      <xdr:row>300</xdr:row>
      <xdr:rowOff>19050</xdr:rowOff>
    </xdr:from>
    <xdr:ext cx="238125" cy="200025"/>
    <xdr:sp>
      <xdr:nvSpPr>
        <xdr:cNvPr id="154" name="TextBox 155"/>
        <xdr:cNvSpPr txBox="1">
          <a:spLocks noChangeArrowheads="1"/>
        </xdr:cNvSpPr>
      </xdr:nvSpPr>
      <xdr:spPr>
        <a:xfrm>
          <a:off x="2600325" y="490061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4</xdr:col>
      <xdr:colOff>276225</xdr:colOff>
      <xdr:row>291</xdr:row>
      <xdr:rowOff>57150</xdr:rowOff>
    </xdr:from>
    <xdr:to>
      <xdr:col>6</xdr:col>
      <xdr:colOff>57150</xdr:colOff>
      <xdr:row>291</xdr:row>
      <xdr:rowOff>57150</xdr:rowOff>
    </xdr:to>
    <xdr:sp>
      <xdr:nvSpPr>
        <xdr:cNvPr id="155" name="Line 156"/>
        <xdr:cNvSpPr>
          <a:spLocks/>
        </xdr:cNvSpPr>
      </xdr:nvSpPr>
      <xdr:spPr>
        <a:xfrm>
          <a:off x="2733675" y="47586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290</xdr:row>
      <xdr:rowOff>152400</xdr:rowOff>
    </xdr:from>
    <xdr:to>
      <xdr:col>5</xdr:col>
      <xdr:colOff>209550</xdr:colOff>
      <xdr:row>294</xdr:row>
      <xdr:rowOff>104775</xdr:rowOff>
    </xdr:to>
    <xdr:sp>
      <xdr:nvSpPr>
        <xdr:cNvPr id="156" name="Line 157"/>
        <xdr:cNvSpPr>
          <a:spLocks/>
        </xdr:cNvSpPr>
      </xdr:nvSpPr>
      <xdr:spPr>
        <a:xfrm flipH="1">
          <a:off x="3267075" y="47520225"/>
          <a:ext cx="9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289</xdr:row>
      <xdr:rowOff>123825</xdr:rowOff>
    </xdr:from>
    <xdr:to>
      <xdr:col>5</xdr:col>
      <xdr:colOff>571500</xdr:colOff>
      <xdr:row>293</xdr:row>
      <xdr:rowOff>104775</xdr:rowOff>
    </xdr:to>
    <xdr:sp>
      <xdr:nvSpPr>
        <xdr:cNvPr id="157" name="Line 158"/>
        <xdr:cNvSpPr>
          <a:spLocks/>
        </xdr:cNvSpPr>
      </xdr:nvSpPr>
      <xdr:spPr>
        <a:xfrm>
          <a:off x="3638550" y="473297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291</xdr:row>
      <xdr:rowOff>19050</xdr:rowOff>
    </xdr:from>
    <xdr:to>
      <xdr:col>4</xdr:col>
      <xdr:colOff>352425</xdr:colOff>
      <xdr:row>291</xdr:row>
      <xdr:rowOff>66675</xdr:rowOff>
    </xdr:to>
    <xdr:sp>
      <xdr:nvSpPr>
        <xdr:cNvPr id="158" name="Line 159"/>
        <xdr:cNvSpPr>
          <a:spLocks/>
        </xdr:cNvSpPr>
      </xdr:nvSpPr>
      <xdr:spPr>
        <a:xfrm flipH="1">
          <a:off x="2752725" y="4754880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291</xdr:row>
      <xdr:rowOff>0</xdr:rowOff>
    </xdr:from>
    <xdr:to>
      <xdr:col>5</xdr:col>
      <xdr:colOff>257175</xdr:colOff>
      <xdr:row>291</xdr:row>
      <xdr:rowOff>66675</xdr:rowOff>
    </xdr:to>
    <xdr:sp>
      <xdr:nvSpPr>
        <xdr:cNvPr id="159" name="Line 160"/>
        <xdr:cNvSpPr>
          <a:spLocks/>
        </xdr:cNvSpPr>
      </xdr:nvSpPr>
      <xdr:spPr>
        <a:xfrm flipH="1">
          <a:off x="3248025" y="4752975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291</xdr:row>
      <xdr:rowOff>28575</xdr:rowOff>
    </xdr:from>
    <xdr:to>
      <xdr:col>6</xdr:col>
      <xdr:colOff>9525</xdr:colOff>
      <xdr:row>291</xdr:row>
      <xdr:rowOff>85725</xdr:rowOff>
    </xdr:to>
    <xdr:sp>
      <xdr:nvSpPr>
        <xdr:cNvPr id="160" name="Line 161"/>
        <xdr:cNvSpPr>
          <a:spLocks/>
        </xdr:cNvSpPr>
      </xdr:nvSpPr>
      <xdr:spPr>
        <a:xfrm flipH="1">
          <a:off x="3609975" y="4755832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447675</xdr:colOff>
      <xdr:row>290</xdr:row>
      <xdr:rowOff>9525</xdr:rowOff>
    </xdr:from>
    <xdr:ext cx="238125" cy="219075"/>
    <xdr:sp>
      <xdr:nvSpPr>
        <xdr:cNvPr id="161" name="TextBox 162"/>
        <xdr:cNvSpPr txBox="1">
          <a:spLocks noChangeArrowheads="1"/>
        </xdr:cNvSpPr>
      </xdr:nvSpPr>
      <xdr:spPr>
        <a:xfrm>
          <a:off x="2905125" y="473773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5</xdr:col>
      <xdr:colOff>295275</xdr:colOff>
      <xdr:row>290</xdr:row>
      <xdr:rowOff>38100</xdr:rowOff>
    </xdr:from>
    <xdr:ext cx="238125" cy="209550"/>
    <xdr:sp>
      <xdr:nvSpPr>
        <xdr:cNvPr id="162" name="TextBox 163"/>
        <xdr:cNvSpPr txBox="1">
          <a:spLocks noChangeArrowheads="1"/>
        </xdr:cNvSpPr>
      </xdr:nvSpPr>
      <xdr:spPr>
        <a:xfrm>
          <a:off x="3362325" y="474059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Cx</a:t>
          </a:r>
        </a:p>
      </xdr:txBody>
    </xdr:sp>
    <xdr:clientData/>
  </xdr:oneCellAnchor>
  <xdr:twoCellAnchor>
    <xdr:from>
      <xdr:col>2</xdr:col>
      <xdr:colOff>485775</xdr:colOff>
      <xdr:row>293</xdr:row>
      <xdr:rowOff>85725</xdr:rowOff>
    </xdr:from>
    <xdr:to>
      <xdr:col>2</xdr:col>
      <xdr:colOff>485775</xdr:colOff>
      <xdr:row>297</xdr:row>
      <xdr:rowOff>38100</xdr:rowOff>
    </xdr:to>
    <xdr:sp>
      <xdr:nvSpPr>
        <xdr:cNvPr id="163" name="Line 164"/>
        <xdr:cNvSpPr>
          <a:spLocks/>
        </xdr:cNvSpPr>
      </xdr:nvSpPr>
      <xdr:spPr>
        <a:xfrm>
          <a:off x="1704975" y="479393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294</xdr:row>
      <xdr:rowOff>38100</xdr:rowOff>
    </xdr:from>
    <xdr:to>
      <xdr:col>2</xdr:col>
      <xdr:colOff>533400</xdr:colOff>
      <xdr:row>294</xdr:row>
      <xdr:rowOff>38100</xdr:rowOff>
    </xdr:to>
    <xdr:sp>
      <xdr:nvSpPr>
        <xdr:cNvPr id="164" name="Line 165"/>
        <xdr:cNvSpPr>
          <a:spLocks/>
        </xdr:cNvSpPr>
      </xdr:nvSpPr>
      <xdr:spPr>
        <a:xfrm>
          <a:off x="1647825" y="4805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295</xdr:row>
      <xdr:rowOff>66675</xdr:rowOff>
    </xdr:from>
    <xdr:to>
      <xdr:col>5</xdr:col>
      <xdr:colOff>66675</xdr:colOff>
      <xdr:row>295</xdr:row>
      <xdr:rowOff>66675</xdr:rowOff>
    </xdr:to>
    <xdr:sp>
      <xdr:nvSpPr>
        <xdr:cNvPr id="165" name="Line 166"/>
        <xdr:cNvSpPr>
          <a:spLocks/>
        </xdr:cNvSpPr>
      </xdr:nvSpPr>
      <xdr:spPr>
        <a:xfrm>
          <a:off x="1666875" y="48244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295275</xdr:colOff>
      <xdr:row>295</xdr:row>
      <xdr:rowOff>85725</xdr:rowOff>
    </xdr:from>
    <xdr:ext cx="247650" cy="238125"/>
    <xdr:sp>
      <xdr:nvSpPr>
        <xdr:cNvPr id="166" name="TextBox 167"/>
        <xdr:cNvSpPr txBox="1">
          <a:spLocks noChangeArrowheads="1"/>
        </xdr:cNvSpPr>
      </xdr:nvSpPr>
      <xdr:spPr>
        <a:xfrm>
          <a:off x="1514475" y="482631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2</xdr:col>
      <xdr:colOff>257175</xdr:colOff>
      <xdr:row>294</xdr:row>
      <xdr:rowOff>57150</xdr:rowOff>
    </xdr:from>
    <xdr:ext cx="219075" cy="209550"/>
    <xdr:sp>
      <xdr:nvSpPr>
        <xdr:cNvPr id="167" name="TextBox 168"/>
        <xdr:cNvSpPr txBox="1">
          <a:spLocks noChangeArrowheads="1"/>
        </xdr:cNvSpPr>
      </xdr:nvSpPr>
      <xdr:spPr>
        <a:xfrm>
          <a:off x="1476375" y="480726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Cy</a:t>
          </a:r>
        </a:p>
      </xdr:txBody>
    </xdr:sp>
    <xdr:clientData/>
  </xdr:oneCellAnchor>
  <xdr:twoCellAnchor>
    <xdr:from>
      <xdr:col>2</xdr:col>
      <xdr:colOff>0</xdr:colOff>
      <xdr:row>294</xdr:row>
      <xdr:rowOff>28575</xdr:rowOff>
    </xdr:from>
    <xdr:to>
      <xdr:col>5</xdr:col>
      <xdr:colOff>590550</xdr:colOff>
      <xdr:row>294</xdr:row>
      <xdr:rowOff>28575</xdr:rowOff>
    </xdr:to>
    <xdr:sp>
      <xdr:nvSpPr>
        <xdr:cNvPr id="168" name="Line 169"/>
        <xdr:cNvSpPr>
          <a:spLocks/>
        </xdr:cNvSpPr>
      </xdr:nvSpPr>
      <xdr:spPr>
        <a:xfrm>
          <a:off x="1219200" y="480441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294</xdr:row>
      <xdr:rowOff>38100</xdr:rowOff>
    </xdr:from>
    <xdr:to>
      <xdr:col>5</xdr:col>
      <xdr:colOff>590550</xdr:colOff>
      <xdr:row>301</xdr:row>
      <xdr:rowOff>66675</xdr:rowOff>
    </xdr:to>
    <xdr:sp>
      <xdr:nvSpPr>
        <xdr:cNvPr id="169" name="Line 170"/>
        <xdr:cNvSpPr>
          <a:spLocks/>
        </xdr:cNvSpPr>
      </xdr:nvSpPr>
      <xdr:spPr>
        <a:xfrm>
          <a:off x="3657600" y="480536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294</xdr:row>
      <xdr:rowOff>38100</xdr:rowOff>
    </xdr:from>
    <xdr:to>
      <xdr:col>5</xdr:col>
      <xdr:colOff>590550</xdr:colOff>
      <xdr:row>301</xdr:row>
      <xdr:rowOff>85725</xdr:rowOff>
    </xdr:to>
    <xdr:sp>
      <xdr:nvSpPr>
        <xdr:cNvPr id="170" name="Line 171"/>
        <xdr:cNvSpPr>
          <a:spLocks/>
        </xdr:cNvSpPr>
      </xdr:nvSpPr>
      <xdr:spPr>
        <a:xfrm>
          <a:off x="1228725" y="48053625"/>
          <a:ext cx="2428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289</xdr:row>
      <xdr:rowOff>104775</xdr:rowOff>
    </xdr:from>
    <xdr:to>
      <xdr:col>2</xdr:col>
      <xdr:colOff>9525</xdr:colOff>
      <xdr:row>293</xdr:row>
      <xdr:rowOff>47625</xdr:rowOff>
    </xdr:to>
    <xdr:sp>
      <xdr:nvSpPr>
        <xdr:cNvPr id="171" name="Line 172"/>
        <xdr:cNvSpPr>
          <a:spLocks/>
        </xdr:cNvSpPr>
      </xdr:nvSpPr>
      <xdr:spPr>
        <a:xfrm>
          <a:off x="1228725" y="473106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290</xdr:row>
      <xdr:rowOff>0</xdr:rowOff>
    </xdr:from>
    <xdr:to>
      <xdr:col>6</xdr:col>
      <xdr:colOff>19050</xdr:colOff>
      <xdr:row>290</xdr:row>
      <xdr:rowOff>0</xdr:rowOff>
    </xdr:to>
    <xdr:sp>
      <xdr:nvSpPr>
        <xdr:cNvPr id="172" name="Line 173"/>
        <xdr:cNvSpPr>
          <a:spLocks/>
        </xdr:cNvSpPr>
      </xdr:nvSpPr>
      <xdr:spPr>
        <a:xfrm>
          <a:off x="1181100" y="473678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294</xdr:row>
      <xdr:rowOff>28575</xdr:rowOff>
    </xdr:from>
    <xdr:to>
      <xdr:col>8</xdr:col>
      <xdr:colOff>352425</xdr:colOff>
      <xdr:row>294</xdr:row>
      <xdr:rowOff>28575</xdr:rowOff>
    </xdr:to>
    <xdr:sp>
      <xdr:nvSpPr>
        <xdr:cNvPr id="173" name="Line 174"/>
        <xdr:cNvSpPr>
          <a:spLocks/>
        </xdr:cNvSpPr>
      </xdr:nvSpPr>
      <xdr:spPr>
        <a:xfrm>
          <a:off x="3743325" y="480441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301</xdr:row>
      <xdr:rowOff>85725</xdr:rowOff>
    </xdr:from>
    <xdr:to>
      <xdr:col>8</xdr:col>
      <xdr:colOff>447675</xdr:colOff>
      <xdr:row>301</xdr:row>
      <xdr:rowOff>85725</xdr:rowOff>
    </xdr:to>
    <xdr:sp>
      <xdr:nvSpPr>
        <xdr:cNvPr id="174" name="Line 175"/>
        <xdr:cNvSpPr>
          <a:spLocks/>
        </xdr:cNvSpPr>
      </xdr:nvSpPr>
      <xdr:spPr>
        <a:xfrm>
          <a:off x="3800475" y="492347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293</xdr:row>
      <xdr:rowOff>47625</xdr:rowOff>
    </xdr:from>
    <xdr:to>
      <xdr:col>8</xdr:col>
      <xdr:colOff>276225</xdr:colOff>
      <xdr:row>302</xdr:row>
      <xdr:rowOff>0</xdr:rowOff>
    </xdr:to>
    <xdr:sp>
      <xdr:nvSpPr>
        <xdr:cNvPr id="175" name="Line 176"/>
        <xdr:cNvSpPr>
          <a:spLocks/>
        </xdr:cNvSpPr>
      </xdr:nvSpPr>
      <xdr:spPr>
        <a:xfrm>
          <a:off x="5172075" y="479012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289</xdr:row>
      <xdr:rowOff>142875</xdr:rowOff>
    </xdr:from>
    <xdr:to>
      <xdr:col>2</xdr:col>
      <xdr:colOff>47625</xdr:colOff>
      <xdr:row>290</xdr:row>
      <xdr:rowOff>9525</xdr:rowOff>
    </xdr:to>
    <xdr:sp>
      <xdr:nvSpPr>
        <xdr:cNvPr id="176" name="Line 177"/>
        <xdr:cNvSpPr>
          <a:spLocks/>
        </xdr:cNvSpPr>
      </xdr:nvSpPr>
      <xdr:spPr>
        <a:xfrm flipH="1">
          <a:off x="1209675" y="4734877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289</xdr:row>
      <xdr:rowOff>142875</xdr:rowOff>
    </xdr:from>
    <xdr:to>
      <xdr:col>5</xdr:col>
      <xdr:colOff>600075</xdr:colOff>
      <xdr:row>290</xdr:row>
      <xdr:rowOff>19050</xdr:rowOff>
    </xdr:to>
    <xdr:sp>
      <xdr:nvSpPr>
        <xdr:cNvPr id="177" name="Line 178"/>
        <xdr:cNvSpPr>
          <a:spLocks/>
        </xdr:cNvSpPr>
      </xdr:nvSpPr>
      <xdr:spPr>
        <a:xfrm flipH="1">
          <a:off x="3619500" y="47348775"/>
          <a:ext cx="47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294</xdr:row>
      <xdr:rowOff>0</xdr:rowOff>
    </xdr:from>
    <xdr:to>
      <xdr:col>8</xdr:col>
      <xdr:colOff>304800</xdr:colOff>
      <xdr:row>294</xdr:row>
      <xdr:rowOff>38100</xdr:rowOff>
    </xdr:to>
    <xdr:sp>
      <xdr:nvSpPr>
        <xdr:cNvPr id="178" name="Line 179"/>
        <xdr:cNvSpPr>
          <a:spLocks/>
        </xdr:cNvSpPr>
      </xdr:nvSpPr>
      <xdr:spPr>
        <a:xfrm flipH="1">
          <a:off x="5172075" y="480155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301</xdr:row>
      <xdr:rowOff>57150</xdr:rowOff>
    </xdr:from>
    <xdr:to>
      <xdr:col>8</xdr:col>
      <xdr:colOff>304800</xdr:colOff>
      <xdr:row>301</xdr:row>
      <xdr:rowOff>104775</xdr:rowOff>
    </xdr:to>
    <xdr:sp>
      <xdr:nvSpPr>
        <xdr:cNvPr id="179" name="Line 180"/>
        <xdr:cNvSpPr>
          <a:spLocks/>
        </xdr:cNvSpPr>
      </xdr:nvSpPr>
      <xdr:spPr>
        <a:xfrm flipH="1">
          <a:off x="5153025" y="492061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332</xdr:row>
      <xdr:rowOff>0</xdr:rowOff>
    </xdr:from>
    <xdr:to>
      <xdr:col>5</xdr:col>
      <xdr:colOff>600075</xdr:colOff>
      <xdr:row>332</xdr:row>
      <xdr:rowOff>0</xdr:rowOff>
    </xdr:to>
    <xdr:sp>
      <xdr:nvSpPr>
        <xdr:cNvPr id="180" name="Line 181"/>
        <xdr:cNvSpPr>
          <a:spLocks/>
        </xdr:cNvSpPr>
      </xdr:nvSpPr>
      <xdr:spPr>
        <a:xfrm>
          <a:off x="1228725" y="545115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331</xdr:row>
      <xdr:rowOff>152400</xdr:rowOff>
    </xdr:from>
    <xdr:to>
      <xdr:col>6</xdr:col>
      <xdr:colOff>0</xdr:colOff>
      <xdr:row>342</xdr:row>
      <xdr:rowOff>0</xdr:rowOff>
    </xdr:to>
    <xdr:sp>
      <xdr:nvSpPr>
        <xdr:cNvPr id="181" name="Line 182"/>
        <xdr:cNvSpPr>
          <a:spLocks/>
        </xdr:cNvSpPr>
      </xdr:nvSpPr>
      <xdr:spPr>
        <a:xfrm>
          <a:off x="3676650" y="545020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332</xdr:row>
      <xdr:rowOff>0</xdr:rowOff>
    </xdr:from>
    <xdr:to>
      <xdr:col>6</xdr:col>
      <xdr:colOff>0</xdr:colOff>
      <xdr:row>342</xdr:row>
      <xdr:rowOff>0</xdr:rowOff>
    </xdr:to>
    <xdr:sp>
      <xdr:nvSpPr>
        <xdr:cNvPr id="182" name="Line 183"/>
        <xdr:cNvSpPr>
          <a:spLocks/>
        </xdr:cNvSpPr>
      </xdr:nvSpPr>
      <xdr:spPr>
        <a:xfrm>
          <a:off x="1228725" y="54511575"/>
          <a:ext cx="24479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332</xdr:row>
      <xdr:rowOff>9525</xdr:rowOff>
    </xdr:from>
    <xdr:to>
      <xdr:col>6</xdr:col>
      <xdr:colOff>0</xdr:colOff>
      <xdr:row>338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1847850" y="54521100"/>
          <a:ext cx="1828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330</xdr:row>
      <xdr:rowOff>152400</xdr:rowOff>
    </xdr:from>
    <xdr:to>
      <xdr:col>6</xdr:col>
      <xdr:colOff>76200</xdr:colOff>
      <xdr:row>330</xdr:row>
      <xdr:rowOff>152400</xdr:rowOff>
    </xdr:to>
    <xdr:sp>
      <xdr:nvSpPr>
        <xdr:cNvPr id="184" name="Line 185"/>
        <xdr:cNvSpPr>
          <a:spLocks/>
        </xdr:cNvSpPr>
      </xdr:nvSpPr>
      <xdr:spPr>
        <a:xfrm>
          <a:off x="1143000" y="543401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330</xdr:row>
      <xdr:rowOff>0</xdr:rowOff>
    </xdr:from>
    <xdr:to>
      <xdr:col>6</xdr:col>
      <xdr:colOff>114300</xdr:colOff>
      <xdr:row>330</xdr:row>
      <xdr:rowOff>0</xdr:rowOff>
    </xdr:to>
    <xdr:sp>
      <xdr:nvSpPr>
        <xdr:cNvPr id="185" name="Line 186"/>
        <xdr:cNvSpPr>
          <a:spLocks/>
        </xdr:cNvSpPr>
      </xdr:nvSpPr>
      <xdr:spPr>
        <a:xfrm>
          <a:off x="1123950" y="54187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329</xdr:row>
      <xdr:rowOff>85725</xdr:rowOff>
    </xdr:from>
    <xdr:to>
      <xdr:col>1</xdr:col>
      <xdr:colOff>600075</xdr:colOff>
      <xdr:row>331</xdr:row>
      <xdr:rowOff>57150</xdr:rowOff>
    </xdr:to>
    <xdr:sp>
      <xdr:nvSpPr>
        <xdr:cNvPr id="186" name="Line 187"/>
        <xdr:cNvSpPr>
          <a:spLocks/>
        </xdr:cNvSpPr>
      </xdr:nvSpPr>
      <xdr:spPr>
        <a:xfrm>
          <a:off x="1209675" y="54111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330</xdr:row>
      <xdr:rowOff>123825</xdr:rowOff>
    </xdr:from>
    <xdr:to>
      <xdr:col>3</xdr:col>
      <xdr:colOff>0</xdr:colOff>
      <xdr:row>331</xdr:row>
      <xdr:rowOff>66675</xdr:rowOff>
    </xdr:to>
    <xdr:sp>
      <xdr:nvSpPr>
        <xdr:cNvPr id="187" name="Line 188"/>
        <xdr:cNvSpPr>
          <a:spLocks/>
        </xdr:cNvSpPr>
      </xdr:nvSpPr>
      <xdr:spPr>
        <a:xfrm flipH="1">
          <a:off x="1800225" y="54311550"/>
          <a:ext cx="476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114300</xdr:rowOff>
    </xdr:from>
    <xdr:to>
      <xdr:col>6</xdr:col>
      <xdr:colOff>0</xdr:colOff>
      <xdr:row>331</xdr:row>
      <xdr:rowOff>66675</xdr:rowOff>
    </xdr:to>
    <xdr:sp>
      <xdr:nvSpPr>
        <xdr:cNvPr id="188" name="Line 189"/>
        <xdr:cNvSpPr>
          <a:spLocks/>
        </xdr:cNvSpPr>
      </xdr:nvSpPr>
      <xdr:spPr>
        <a:xfrm>
          <a:off x="3676650" y="54140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329</xdr:row>
      <xdr:rowOff>133350</xdr:rowOff>
    </xdr:from>
    <xdr:to>
      <xdr:col>2</xdr:col>
      <xdr:colOff>28575</xdr:colOff>
      <xdr:row>330</xdr:row>
      <xdr:rowOff>38100</xdr:rowOff>
    </xdr:to>
    <xdr:sp>
      <xdr:nvSpPr>
        <xdr:cNvPr id="189" name="Line 190"/>
        <xdr:cNvSpPr>
          <a:spLocks/>
        </xdr:cNvSpPr>
      </xdr:nvSpPr>
      <xdr:spPr>
        <a:xfrm flipH="1">
          <a:off x="1190625" y="541591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330</xdr:row>
      <xdr:rowOff>123825</xdr:rowOff>
    </xdr:from>
    <xdr:to>
      <xdr:col>2</xdr:col>
      <xdr:colOff>28575</xdr:colOff>
      <xdr:row>331</xdr:row>
      <xdr:rowOff>9525</xdr:rowOff>
    </xdr:to>
    <xdr:sp>
      <xdr:nvSpPr>
        <xdr:cNvPr id="190" name="Line 191"/>
        <xdr:cNvSpPr>
          <a:spLocks/>
        </xdr:cNvSpPr>
      </xdr:nvSpPr>
      <xdr:spPr>
        <a:xfrm flipH="1">
          <a:off x="1190625" y="543115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330</xdr:row>
      <xdr:rowOff>123825</xdr:rowOff>
    </xdr:from>
    <xdr:to>
      <xdr:col>3</xdr:col>
      <xdr:colOff>47625</xdr:colOff>
      <xdr:row>331</xdr:row>
      <xdr:rowOff>28575</xdr:rowOff>
    </xdr:to>
    <xdr:sp>
      <xdr:nvSpPr>
        <xdr:cNvPr id="191" name="Line 192"/>
        <xdr:cNvSpPr>
          <a:spLocks/>
        </xdr:cNvSpPr>
      </xdr:nvSpPr>
      <xdr:spPr>
        <a:xfrm flipH="1">
          <a:off x="1781175" y="54311550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330</xdr:row>
      <xdr:rowOff>114300</xdr:rowOff>
    </xdr:from>
    <xdr:to>
      <xdr:col>6</xdr:col>
      <xdr:colOff>28575</xdr:colOff>
      <xdr:row>331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3629025" y="5430202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329</xdr:row>
      <xdr:rowOff>104775</xdr:rowOff>
    </xdr:from>
    <xdr:to>
      <xdr:col>6</xdr:col>
      <xdr:colOff>38100</xdr:colOff>
      <xdr:row>330</xdr:row>
      <xdr:rowOff>28575</xdr:rowOff>
    </xdr:to>
    <xdr:sp>
      <xdr:nvSpPr>
        <xdr:cNvPr id="193" name="Line 194"/>
        <xdr:cNvSpPr>
          <a:spLocks/>
        </xdr:cNvSpPr>
      </xdr:nvSpPr>
      <xdr:spPr>
        <a:xfrm flipH="1">
          <a:off x="3657600" y="54130575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331</xdr:row>
      <xdr:rowOff>95250</xdr:rowOff>
    </xdr:from>
    <xdr:to>
      <xdr:col>6</xdr:col>
      <xdr:colOff>276225</xdr:colOff>
      <xdr:row>342</xdr:row>
      <xdr:rowOff>133350</xdr:rowOff>
    </xdr:to>
    <xdr:sp>
      <xdr:nvSpPr>
        <xdr:cNvPr id="194" name="Line 195"/>
        <xdr:cNvSpPr>
          <a:spLocks/>
        </xdr:cNvSpPr>
      </xdr:nvSpPr>
      <xdr:spPr>
        <a:xfrm>
          <a:off x="3952875" y="54444900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331</xdr:row>
      <xdr:rowOff>66675</xdr:rowOff>
    </xdr:from>
    <xdr:to>
      <xdr:col>7</xdr:col>
      <xdr:colOff>9525</xdr:colOff>
      <xdr:row>342</xdr:row>
      <xdr:rowOff>152400</xdr:rowOff>
    </xdr:to>
    <xdr:sp>
      <xdr:nvSpPr>
        <xdr:cNvPr id="195" name="Line 196"/>
        <xdr:cNvSpPr>
          <a:spLocks/>
        </xdr:cNvSpPr>
      </xdr:nvSpPr>
      <xdr:spPr>
        <a:xfrm>
          <a:off x="4295775" y="5441632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332</xdr:row>
      <xdr:rowOff>0</xdr:rowOff>
    </xdr:from>
    <xdr:to>
      <xdr:col>7</xdr:col>
      <xdr:colOff>95250</xdr:colOff>
      <xdr:row>332</xdr:row>
      <xdr:rowOff>9525</xdr:rowOff>
    </xdr:to>
    <xdr:sp>
      <xdr:nvSpPr>
        <xdr:cNvPr id="196" name="Line 197"/>
        <xdr:cNvSpPr>
          <a:spLocks/>
        </xdr:cNvSpPr>
      </xdr:nvSpPr>
      <xdr:spPr>
        <a:xfrm flipV="1">
          <a:off x="3838575" y="54511575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337</xdr:row>
      <xdr:rowOff>152400</xdr:rowOff>
    </xdr:from>
    <xdr:to>
      <xdr:col>6</xdr:col>
      <xdr:colOff>323850</xdr:colOff>
      <xdr:row>337</xdr:row>
      <xdr:rowOff>152400</xdr:rowOff>
    </xdr:to>
    <xdr:sp>
      <xdr:nvSpPr>
        <xdr:cNvPr id="197" name="Line 198"/>
        <xdr:cNvSpPr>
          <a:spLocks/>
        </xdr:cNvSpPr>
      </xdr:nvSpPr>
      <xdr:spPr>
        <a:xfrm>
          <a:off x="3914775" y="554736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342</xdr:row>
      <xdr:rowOff>0</xdr:rowOff>
    </xdr:from>
    <xdr:to>
      <xdr:col>7</xdr:col>
      <xdr:colOff>57150</xdr:colOff>
      <xdr:row>342</xdr:row>
      <xdr:rowOff>0</xdr:rowOff>
    </xdr:to>
    <xdr:sp>
      <xdr:nvSpPr>
        <xdr:cNvPr id="198" name="Line 199"/>
        <xdr:cNvSpPr>
          <a:spLocks/>
        </xdr:cNvSpPr>
      </xdr:nvSpPr>
      <xdr:spPr>
        <a:xfrm flipV="1">
          <a:off x="3886200" y="56130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331</xdr:row>
      <xdr:rowOff>114300</xdr:rowOff>
    </xdr:from>
    <xdr:to>
      <xdr:col>6</xdr:col>
      <xdr:colOff>323850</xdr:colOff>
      <xdr:row>332</xdr:row>
      <xdr:rowOff>38100</xdr:rowOff>
    </xdr:to>
    <xdr:sp>
      <xdr:nvSpPr>
        <xdr:cNvPr id="199" name="Line 200"/>
        <xdr:cNvSpPr>
          <a:spLocks/>
        </xdr:cNvSpPr>
      </xdr:nvSpPr>
      <xdr:spPr>
        <a:xfrm flipV="1">
          <a:off x="3924300" y="5446395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331</xdr:row>
      <xdr:rowOff>104775</xdr:rowOff>
    </xdr:from>
    <xdr:to>
      <xdr:col>7</xdr:col>
      <xdr:colOff>38100</xdr:colOff>
      <xdr:row>332</xdr:row>
      <xdr:rowOff>38100</xdr:rowOff>
    </xdr:to>
    <xdr:sp>
      <xdr:nvSpPr>
        <xdr:cNvPr id="200" name="Line 201"/>
        <xdr:cNvSpPr>
          <a:spLocks/>
        </xdr:cNvSpPr>
      </xdr:nvSpPr>
      <xdr:spPr>
        <a:xfrm flipV="1">
          <a:off x="4267200" y="54454425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337</xdr:row>
      <xdr:rowOff>114300</xdr:rowOff>
    </xdr:from>
    <xdr:to>
      <xdr:col>6</xdr:col>
      <xdr:colOff>314325</xdr:colOff>
      <xdr:row>338</xdr:row>
      <xdr:rowOff>28575</xdr:rowOff>
    </xdr:to>
    <xdr:sp>
      <xdr:nvSpPr>
        <xdr:cNvPr id="201" name="Line 202"/>
        <xdr:cNvSpPr>
          <a:spLocks/>
        </xdr:cNvSpPr>
      </xdr:nvSpPr>
      <xdr:spPr>
        <a:xfrm flipV="1">
          <a:off x="3924300" y="554355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331</xdr:row>
      <xdr:rowOff>104775</xdr:rowOff>
    </xdr:from>
    <xdr:to>
      <xdr:col>1</xdr:col>
      <xdr:colOff>371475</xdr:colOff>
      <xdr:row>338</xdr:row>
      <xdr:rowOff>76200</xdr:rowOff>
    </xdr:to>
    <xdr:sp>
      <xdr:nvSpPr>
        <xdr:cNvPr id="202" name="Line 203"/>
        <xdr:cNvSpPr>
          <a:spLocks/>
        </xdr:cNvSpPr>
      </xdr:nvSpPr>
      <xdr:spPr>
        <a:xfrm>
          <a:off x="981075" y="544544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343</xdr:row>
      <xdr:rowOff>0</xdr:rowOff>
    </xdr:from>
    <xdr:to>
      <xdr:col>6</xdr:col>
      <xdr:colOff>95250</xdr:colOff>
      <xdr:row>343</xdr:row>
      <xdr:rowOff>0</xdr:rowOff>
    </xdr:to>
    <xdr:sp>
      <xdr:nvSpPr>
        <xdr:cNvPr id="203" name="Line 204"/>
        <xdr:cNvSpPr>
          <a:spLocks/>
        </xdr:cNvSpPr>
      </xdr:nvSpPr>
      <xdr:spPr>
        <a:xfrm>
          <a:off x="1704975" y="56292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332</xdr:row>
      <xdr:rowOff>0</xdr:rowOff>
    </xdr:from>
    <xdr:to>
      <xdr:col>1</xdr:col>
      <xdr:colOff>495300</xdr:colOff>
      <xdr:row>332</xdr:row>
      <xdr:rowOff>0</xdr:rowOff>
    </xdr:to>
    <xdr:sp>
      <xdr:nvSpPr>
        <xdr:cNvPr id="204" name="Line 205"/>
        <xdr:cNvSpPr>
          <a:spLocks/>
        </xdr:cNvSpPr>
      </xdr:nvSpPr>
      <xdr:spPr>
        <a:xfrm>
          <a:off x="952500" y="54511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334</xdr:row>
      <xdr:rowOff>57150</xdr:rowOff>
    </xdr:from>
    <xdr:to>
      <xdr:col>2</xdr:col>
      <xdr:colOff>419100</xdr:colOff>
      <xdr:row>334</xdr:row>
      <xdr:rowOff>57150</xdr:rowOff>
    </xdr:to>
    <xdr:sp>
      <xdr:nvSpPr>
        <xdr:cNvPr id="205" name="Line 206"/>
        <xdr:cNvSpPr>
          <a:spLocks/>
        </xdr:cNvSpPr>
      </xdr:nvSpPr>
      <xdr:spPr>
        <a:xfrm>
          <a:off x="923925" y="548925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338</xdr:row>
      <xdr:rowOff>9525</xdr:rowOff>
    </xdr:from>
    <xdr:to>
      <xdr:col>2</xdr:col>
      <xdr:colOff>466725</xdr:colOff>
      <xdr:row>338</xdr:row>
      <xdr:rowOff>9525</xdr:rowOff>
    </xdr:to>
    <xdr:sp>
      <xdr:nvSpPr>
        <xdr:cNvPr id="206" name="Line 207"/>
        <xdr:cNvSpPr>
          <a:spLocks/>
        </xdr:cNvSpPr>
      </xdr:nvSpPr>
      <xdr:spPr>
        <a:xfrm>
          <a:off x="942975" y="554926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339</xdr:row>
      <xdr:rowOff>76200</xdr:rowOff>
    </xdr:from>
    <xdr:to>
      <xdr:col>3</xdr:col>
      <xdr:colOff>0</xdr:colOff>
      <xdr:row>343</xdr:row>
      <xdr:rowOff>85725</xdr:rowOff>
    </xdr:to>
    <xdr:sp>
      <xdr:nvSpPr>
        <xdr:cNvPr id="207" name="Line 208"/>
        <xdr:cNvSpPr>
          <a:spLocks/>
        </xdr:cNvSpPr>
      </xdr:nvSpPr>
      <xdr:spPr>
        <a:xfrm>
          <a:off x="1847850" y="55721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339</xdr:row>
      <xdr:rowOff>47625</xdr:rowOff>
    </xdr:from>
    <xdr:to>
      <xdr:col>4</xdr:col>
      <xdr:colOff>247650</xdr:colOff>
      <xdr:row>343</xdr:row>
      <xdr:rowOff>142875</xdr:rowOff>
    </xdr:to>
    <xdr:sp>
      <xdr:nvSpPr>
        <xdr:cNvPr id="208" name="Line 209"/>
        <xdr:cNvSpPr>
          <a:spLocks/>
        </xdr:cNvSpPr>
      </xdr:nvSpPr>
      <xdr:spPr>
        <a:xfrm>
          <a:off x="2705100" y="556926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342</xdr:row>
      <xdr:rowOff>85725</xdr:rowOff>
    </xdr:from>
    <xdr:to>
      <xdr:col>6</xdr:col>
      <xdr:colOff>0</xdr:colOff>
      <xdr:row>343</xdr:row>
      <xdr:rowOff>66675</xdr:rowOff>
    </xdr:to>
    <xdr:sp>
      <xdr:nvSpPr>
        <xdr:cNvPr id="209" name="Line 210"/>
        <xdr:cNvSpPr>
          <a:spLocks/>
        </xdr:cNvSpPr>
      </xdr:nvSpPr>
      <xdr:spPr>
        <a:xfrm>
          <a:off x="3667125" y="56216550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342</xdr:row>
      <xdr:rowOff>142875</xdr:rowOff>
    </xdr:from>
    <xdr:to>
      <xdr:col>6</xdr:col>
      <xdr:colOff>28575</xdr:colOff>
      <xdr:row>343</xdr:row>
      <xdr:rowOff>38100</xdr:rowOff>
    </xdr:to>
    <xdr:sp>
      <xdr:nvSpPr>
        <xdr:cNvPr id="210" name="Line 211"/>
        <xdr:cNvSpPr>
          <a:spLocks/>
        </xdr:cNvSpPr>
      </xdr:nvSpPr>
      <xdr:spPr>
        <a:xfrm flipH="1">
          <a:off x="3667125" y="5627370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342</xdr:row>
      <xdr:rowOff>123825</xdr:rowOff>
    </xdr:from>
    <xdr:to>
      <xdr:col>4</xdr:col>
      <xdr:colOff>304800</xdr:colOff>
      <xdr:row>343</xdr:row>
      <xdr:rowOff>19050</xdr:rowOff>
    </xdr:to>
    <xdr:sp>
      <xdr:nvSpPr>
        <xdr:cNvPr id="211" name="Line 212"/>
        <xdr:cNvSpPr>
          <a:spLocks/>
        </xdr:cNvSpPr>
      </xdr:nvSpPr>
      <xdr:spPr>
        <a:xfrm flipH="1">
          <a:off x="2676525" y="56254650"/>
          <a:ext cx="85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342</xdr:row>
      <xdr:rowOff>123825</xdr:rowOff>
    </xdr:from>
    <xdr:to>
      <xdr:col>3</xdr:col>
      <xdr:colOff>47625</xdr:colOff>
      <xdr:row>343</xdr:row>
      <xdr:rowOff>28575</xdr:rowOff>
    </xdr:to>
    <xdr:sp>
      <xdr:nvSpPr>
        <xdr:cNvPr id="212" name="Line 213"/>
        <xdr:cNvSpPr>
          <a:spLocks/>
        </xdr:cNvSpPr>
      </xdr:nvSpPr>
      <xdr:spPr>
        <a:xfrm flipH="1">
          <a:off x="1781175" y="56254650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337</xdr:row>
      <xdr:rowOff>133350</xdr:rowOff>
    </xdr:from>
    <xdr:to>
      <xdr:col>1</xdr:col>
      <xdr:colOff>400050</xdr:colOff>
      <xdr:row>338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933450" y="55454550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334</xdr:row>
      <xdr:rowOff>9525</xdr:rowOff>
    </xdr:from>
    <xdr:to>
      <xdr:col>1</xdr:col>
      <xdr:colOff>409575</xdr:colOff>
      <xdr:row>334</xdr:row>
      <xdr:rowOff>66675</xdr:rowOff>
    </xdr:to>
    <xdr:sp>
      <xdr:nvSpPr>
        <xdr:cNvPr id="214" name="Line 215"/>
        <xdr:cNvSpPr>
          <a:spLocks/>
        </xdr:cNvSpPr>
      </xdr:nvSpPr>
      <xdr:spPr>
        <a:xfrm flipH="1">
          <a:off x="971550" y="548449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331</xdr:row>
      <xdr:rowOff>123825</xdr:rowOff>
    </xdr:from>
    <xdr:to>
      <xdr:col>1</xdr:col>
      <xdr:colOff>419100</xdr:colOff>
      <xdr:row>332</xdr:row>
      <xdr:rowOff>9525</xdr:rowOff>
    </xdr:to>
    <xdr:sp>
      <xdr:nvSpPr>
        <xdr:cNvPr id="215" name="Line 216"/>
        <xdr:cNvSpPr>
          <a:spLocks/>
        </xdr:cNvSpPr>
      </xdr:nvSpPr>
      <xdr:spPr>
        <a:xfrm flipH="1">
          <a:off x="923925" y="54473475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334</xdr:row>
      <xdr:rowOff>123825</xdr:rowOff>
    </xdr:from>
    <xdr:to>
      <xdr:col>3</xdr:col>
      <xdr:colOff>66675</xdr:colOff>
      <xdr:row>335</xdr:row>
      <xdr:rowOff>38100</xdr:rowOff>
    </xdr:to>
    <xdr:sp>
      <xdr:nvSpPr>
        <xdr:cNvPr id="216" name="Line 217"/>
        <xdr:cNvSpPr>
          <a:spLocks/>
        </xdr:cNvSpPr>
      </xdr:nvSpPr>
      <xdr:spPr>
        <a:xfrm flipH="1">
          <a:off x="1857375" y="5495925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335</xdr:row>
      <xdr:rowOff>19050</xdr:rowOff>
    </xdr:from>
    <xdr:to>
      <xdr:col>3</xdr:col>
      <xdr:colOff>171450</xdr:colOff>
      <xdr:row>336</xdr:row>
      <xdr:rowOff>19050</xdr:rowOff>
    </xdr:to>
    <xdr:sp>
      <xdr:nvSpPr>
        <xdr:cNvPr id="217" name="Line 218"/>
        <xdr:cNvSpPr>
          <a:spLocks/>
        </xdr:cNvSpPr>
      </xdr:nvSpPr>
      <xdr:spPr>
        <a:xfrm flipH="1">
          <a:off x="1866900" y="5501640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335</xdr:row>
      <xdr:rowOff>104775</xdr:rowOff>
    </xdr:from>
    <xdr:to>
      <xdr:col>3</xdr:col>
      <xdr:colOff>266700</xdr:colOff>
      <xdr:row>337</xdr:row>
      <xdr:rowOff>38100</xdr:rowOff>
    </xdr:to>
    <xdr:sp>
      <xdr:nvSpPr>
        <xdr:cNvPr id="218" name="Line 219"/>
        <xdr:cNvSpPr>
          <a:spLocks/>
        </xdr:cNvSpPr>
      </xdr:nvSpPr>
      <xdr:spPr>
        <a:xfrm flipH="1">
          <a:off x="1847850" y="55102125"/>
          <a:ext cx="266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336</xdr:row>
      <xdr:rowOff>9525</xdr:rowOff>
    </xdr:from>
    <xdr:to>
      <xdr:col>3</xdr:col>
      <xdr:colOff>361950</xdr:colOff>
      <xdr:row>337</xdr:row>
      <xdr:rowOff>152400</xdr:rowOff>
    </xdr:to>
    <xdr:sp>
      <xdr:nvSpPr>
        <xdr:cNvPr id="219" name="Line 220"/>
        <xdr:cNvSpPr>
          <a:spLocks/>
        </xdr:cNvSpPr>
      </xdr:nvSpPr>
      <xdr:spPr>
        <a:xfrm flipH="1">
          <a:off x="1905000" y="55168800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336</xdr:row>
      <xdr:rowOff>47625</xdr:rowOff>
    </xdr:from>
    <xdr:to>
      <xdr:col>3</xdr:col>
      <xdr:colOff>457200</xdr:colOff>
      <xdr:row>337</xdr:row>
      <xdr:rowOff>142875</xdr:rowOff>
    </xdr:to>
    <xdr:sp>
      <xdr:nvSpPr>
        <xdr:cNvPr id="220" name="Line 221"/>
        <xdr:cNvSpPr>
          <a:spLocks/>
        </xdr:cNvSpPr>
      </xdr:nvSpPr>
      <xdr:spPr>
        <a:xfrm flipH="1">
          <a:off x="2047875" y="55206900"/>
          <a:ext cx="257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336</xdr:row>
      <xdr:rowOff>114300</xdr:rowOff>
    </xdr:from>
    <xdr:to>
      <xdr:col>3</xdr:col>
      <xdr:colOff>533400</xdr:colOff>
      <xdr:row>337</xdr:row>
      <xdr:rowOff>152400</xdr:rowOff>
    </xdr:to>
    <xdr:sp>
      <xdr:nvSpPr>
        <xdr:cNvPr id="221" name="Line 222"/>
        <xdr:cNvSpPr>
          <a:spLocks/>
        </xdr:cNvSpPr>
      </xdr:nvSpPr>
      <xdr:spPr>
        <a:xfrm flipH="1">
          <a:off x="2181225" y="552735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337</xdr:row>
      <xdr:rowOff>19050</xdr:rowOff>
    </xdr:from>
    <xdr:to>
      <xdr:col>4</xdr:col>
      <xdr:colOff>28575</xdr:colOff>
      <xdr:row>337</xdr:row>
      <xdr:rowOff>152400</xdr:rowOff>
    </xdr:to>
    <xdr:sp>
      <xdr:nvSpPr>
        <xdr:cNvPr id="222" name="Line 223"/>
        <xdr:cNvSpPr>
          <a:spLocks/>
        </xdr:cNvSpPr>
      </xdr:nvSpPr>
      <xdr:spPr>
        <a:xfrm flipH="1">
          <a:off x="2352675" y="553402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337</xdr:row>
      <xdr:rowOff>66675</xdr:rowOff>
    </xdr:from>
    <xdr:to>
      <xdr:col>4</xdr:col>
      <xdr:colOff>123825</xdr:colOff>
      <xdr:row>337</xdr:row>
      <xdr:rowOff>142875</xdr:rowOff>
    </xdr:to>
    <xdr:sp>
      <xdr:nvSpPr>
        <xdr:cNvPr id="223" name="Line 224"/>
        <xdr:cNvSpPr>
          <a:spLocks/>
        </xdr:cNvSpPr>
      </xdr:nvSpPr>
      <xdr:spPr>
        <a:xfrm flipH="1">
          <a:off x="2486025" y="5538787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376</xdr:row>
      <xdr:rowOff>0</xdr:rowOff>
    </xdr:from>
    <xdr:to>
      <xdr:col>7</xdr:col>
      <xdr:colOff>438150</xdr:colOff>
      <xdr:row>376</xdr:row>
      <xdr:rowOff>0</xdr:rowOff>
    </xdr:to>
    <xdr:sp>
      <xdr:nvSpPr>
        <xdr:cNvPr id="224" name="Line 225"/>
        <xdr:cNvSpPr>
          <a:spLocks/>
        </xdr:cNvSpPr>
      </xdr:nvSpPr>
      <xdr:spPr>
        <a:xfrm>
          <a:off x="2438400" y="616553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zda\works\5097\20.0%20Design%20folder%20(DES)\from%20dastur\load%20case%209%20to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e3\e\Kiran\Self\VECO\Work%20L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e3\e\5093\Maintenance%20Build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d1\D\6200%20-%20NSUM\Col_loading_dataE5_6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 9 Stability check"/>
      <sheetName val="LC 10  Stability check"/>
      <sheetName val="LC 11  Stability check "/>
      <sheetName val="LC 12  Stability check "/>
      <sheetName val="LC 13  Stability check "/>
      <sheetName val="LC 14  Stability check  "/>
      <sheetName val="LC 15 Stability check  "/>
      <sheetName val="LC 16  Stability check "/>
      <sheetName val="LC 17  Stability check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sign Philosophy"/>
      <sheetName val="Index"/>
      <sheetName val="WL Calc"/>
      <sheetName val="Wind Load"/>
      <sheetName val="Foundation Design F1"/>
      <sheetName val="Foundation Design F2"/>
      <sheetName val="Foundation Design F3"/>
      <sheetName val="Foundation Design F4"/>
      <sheetName val="MANT1of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49">
      <selection activeCell="C66" sqref="C66:H74"/>
    </sheetView>
  </sheetViews>
  <sheetFormatPr defaultColWidth="9.140625" defaultRowHeight="12.75"/>
  <sheetData>
    <row r="1" spans="1:8" ht="12.75">
      <c r="A1" t="s">
        <v>122</v>
      </c>
      <c r="B1" t="s">
        <v>248</v>
      </c>
      <c r="C1" t="s">
        <v>249</v>
      </c>
      <c r="D1" t="s">
        <v>250</v>
      </c>
      <c r="E1" t="s">
        <v>249</v>
      </c>
      <c r="F1" t="s">
        <v>251</v>
      </c>
      <c r="G1" t="s">
        <v>252</v>
      </c>
      <c r="H1" t="s">
        <v>253</v>
      </c>
    </row>
    <row r="2" spans="1:8" ht="12.7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</row>
    <row r="3" spans="1:8" ht="12.75">
      <c r="A3">
        <v>3</v>
      </c>
      <c r="B3" t="s">
        <v>240</v>
      </c>
      <c r="C3">
        <v>-0.072</v>
      </c>
      <c r="D3">
        <v>0.854</v>
      </c>
      <c r="E3">
        <v>0</v>
      </c>
      <c r="F3">
        <v>0</v>
      </c>
      <c r="G3">
        <v>0</v>
      </c>
      <c r="H3">
        <v>0.17</v>
      </c>
    </row>
    <row r="4" spans="2:8" ht="12.75">
      <c r="B4" t="s">
        <v>241</v>
      </c>
      <c r="C4">
        <v>0.227</v>
      </c>
      <c r="D4">
        <v>3.145</v>
      </c>
      <c r="E4">
        <v>0.052</v>
      </c>
      <c r="F4">
        <v>0.12</v>
      </c>
      <c r="G4">
        <v>0</v>
      </c>
      <c r="H4">
        <v>-0.52</v>
      </c>
    </row>
    <row r="5" spans="2:8" ht="12.75">
      <c r="B5" t="s">
        <v>242</v>
      </c>
      <c r="C5">
        <v>-0.349</v>
      </c>
      <c r="D5">
        <v>-3.66</v>
      </c>
      <c r="E5">
        <v>-0.221</v>
      </c>
      <c r="F5">
        <v>-0.51</v>
      </c>
      <c r="G5">
        <v>0</v>
      </c>
      <c r="H5">
        <v>0.8</v>
      </c>
    </row>
    <row r="6" spans="2:8" ht="12.75">
      <c r="B6" t="s">
        <v>243</v>
      </c>
      <c r="C6">
        <v>0.504</v>
      </c>
      <c r="D6">
        <v>7.662</v>
      </c>
      <c r="E6">
        <v>0.273</v>
      </c>
      <c r="F6">
        <v>0.63</v>
      </c>
      <c r="G6">
        <v>0</v>
      </c>
      <c r="H6">
        <v>-1.16</v>
      </c>
    </row>
    <row r="7" spans="2:8" ht="12.75">
      <c r="B7">
        <v>14</v>
      </c>
      <c r="C7">
        <v>0.032</v>
      </c>
      <c r="D7">
        <v>1.387</v>
      </c>
      <c r="E7">
        <v>0.012</v>
      </c>
      <c r="F7">
        <v>0.03</v>
      </c>
      <c r="G7">
        <v>0</v>
      </c>
      <c r="H7">
        <v>-0.07</v>
      </c>
    </row>
    <row r="8" spans="2:8" ht="12.75">
      <c r="B8" t="s">
        <v>244</v>
      </c>
      <c r="C8">
        <v>-0.118</v>
      </c>
      <c r="D8">
        <v>0.241</v>
      </c>
      <c r="E8">
        <v>-0.014</v>
      </c>
      <c r="F8">
        <v>-0.03</v>
      </c>
      <c r="G8">
        <v>0</v>
      </c>
      <c r="H8">
        <v>0.27</v>
      </c>
    </row>
    <row r="9" spans="2:8" ht="12.75">
      <c r="B9" t="s">
        <v>245</v>
      </c>
      <c r="C9">
        <v>0.181</v>
      </c>
      <c r="D9">
        <v>2.532</v>
      </c>
      <c r="E9">
        <v>0.038</v>
      </c>
      <c r="F9">
        <v>0.09</v>
      </c>
      <c r="G9">
        <v>0</v>
      </c>
      <c r="H9">
        <v>-0.42</v>
      </c>
    </row>
    <row r="10" spans="2:8" ht="12.75">
      <c r="B10" t="s">
        <v>246</v>
      </c>
      <c r="C10">
        <v>-0.395</v>
      </c>
      <c r="D10">
        <v>-4.274</v>
      </c>
      <c r="E10">
        <v>-0.235</v>
      </c>
      <c r="F10">
        <v>-0.54</v>
      </c>
      <c r="G10">
        <v>0</v>
      </c>
      <c r="H10">
        <v>0.91</v>
      </c>
    </row>
    <row r="11" spans="2:8" ht="12.75">
      <c r="B11" t="s">
        <v>247</v>
      </c>
      <c r="C11">
        <v>0.459</v>
      </c>
      <c r="D11">
        <v>7.049</v>
      </c>
      <c r="E11">
        <v>0.259</v>
      </c>
      <c r="F11">
        <v>0.6</v>
      </c>
      <c r="G11">
        <v>0</v>
      </c>
      <c r="H11">
        <v>-1.05</v>
      </c>
    </row>
    <row r="12" spans="1:8" ht="12.75">
      <c r="A12">
        <v>4</v>
      </c>
      <c r="B12" t="s">
        <v>240</v>
      </c>
      <c r="C12">
        <v>-0.101</v>
      </c>
      <c r="D12">
        <v>2.297</v>
      </c>
      <c r="E12">
        <v>0.033</v>
      </c>
      <c r="F12">
        <v>0.08</v>
      </c>
      <c r="G12">
        <v>0</v>
      </c>
      <c r="H12">
        <v>0.23</v>
      </c>
    </row>
    <row r="13" spans="2:8" ht="12.75">
      <c r="B13" t="s">
        <v>241</v>
      </c>
      <c r="C13">
        <v>0.187</v>
      </c>
      <c r="D13">
        <v>0.009</v>
      </c>
      <c r="E13">
        <v>-0.018</v>
      </c>
      <c r="F13">
        <v>-0.04</v>
      </c>
      <c r="G13">
        <v>0</v>
      </c>
      <c r="H13">
        <v>-0.43</v>
      </c>
    </row>
    <row r="14" spans="2:8" ht="12.75">
      <c r="B14" t="s">
        <v>242</v>
      </c>
      <c r="C14">
        <v>-0.112</v>
      </c>
      <c r="D14">
        <v>-4.593</v>
      </c>
      <c r="E14">
        <v>-0.906</v>
      </c>
      <c r="F14">
        <v>-2.08</v>
      </c>
      <c r="G14">
        <v>0</v>
      </c>
      <c r="H14">
        <v>0.26</v>
      </c>
    </row>
    <row r="15" spans="2:8" ht="12.75">
      <c r="B15" t="s">
        <v>243</v>
      </c>
      <c r="C15">
        <v>0.198</v>
      </c>
      <c r="D15">
        <v>6.897</v>
      </c>
      <c r="E15">
        <v>0.921</v>
      </c>
      <c r="F15">
        <v>2.12</v>
      </c>
      <c r="G15">
        <v>0</v>
      </c>
      <c r="H15">
        <v>-0.46</v>
      </c>
    </row>
    <row r="16" spans="2:8" ht="12.75">
      <c r="B16">
        <v>14</v>
      </c>
      <c r="C16">
        <v>0.006</v>
      </c>
      <c r="D16">
        <v>1.291</v>
      </c>
      <c r="E16">
        <v>-0.091</v>
      </c>
      <c r="F16">
        <v>-0.21</v>
      </c>
      <c r="G16">
        <v>0</v>
      </c>
      <c r="H16">
        <v>-0.01</v>
      </c>
    </row>
    <row r="17" spans="2:8" ht="12.75">
      <c r="B17" t="s">
        <v>244</v>
      </c>
      <c r="C17">
        <v>-0.138</v>
      </c>
      <c r="D17">
        <v>2.436</v>
      </c>
      <c r="E17">
        <v>-0.066</v>
      </c>
      <c r="F17">
        <v>-0.15</v>
      </c>
      <c r="G17">
        <v>0</v>
      </c>
      <c r="H17">
        <v>0.32</v>
      </c>
    </row>
    <row r="18" spans="2:8" ht="12.75">
      <c r="B18" t="s">
        <v>245</v>
      </c>
      <c r="C18">
        <v>0.15</v>
      </c>
      <c r="D18">
        <v>0.148</v>
      </c>
      <c r="E18">
        <v>-0.117</v>
      </c>
      <c r="F18">
        <v>-0.27</v>
      </c>
      <c r="G18">
        <v>0</v>
      </c>
      <c r="H18">
        <v>-0.35</v>
      </c>
    </row>
    <row r="19" spans="2:8" ht="12.75">
      <c r="B19" t="s">
        <v>246</v>
      </c>
      <c r="C19">
        <v>-0.149</v>
      </c>
      <c r="D19">
        <v>-4.455</v>
      </c>
      <c r="E19">
        <v>-1.005</v>
      </c>
      <c r="F19">
        <v>-2.31</v>
      </c>
      <c r="G19">
        <v>0</v>
      </c>
      <c r="H19">
        <v>0.34</v>
      </c>
    </row>
    <row r="20" spans="2:8" ht="12.75">
      <c r="B20" t="s">
        <v>247</v>
      </c>
      <c r="C20">
        <v>0.162</v>
      </c>
      <c r="D20">
        <v>7.036</v>
      </c>
      <c r="E20">
        <v>0.822</v>
      </c>
      <c r="F20">
        <v>1.89</v>
      </c>
      <c r="G20">
        <v>0</v>
      </c>
      <c r="H20">
        <v>-0.37</v>
      </c>
    </row>
    <row r="21" spans="1:8" ht="12.75">
      <c r="A21">
        <v>5</v>
      </c>
      <c r="B21" t="s">
        <v>240</v>
      </c>
      <c r="C21">
        <v>-0.072</v>
      </c>
      <c r="D21">
        <v>0.847</v>
      </c>
      <c r="E21">
        <v>0</v>
      </c>
      <c r="F21">
        <v>0</v>
      </c>
      <c r="G21">
        <v>0</v>
      </c>
      <c r="H21">
        <v>0.17</v>
      </c>
    </row>
    <row r="22" spans="2:8" ht="12.75">
      <c r="B22" t="s">
        <v>241</v>
      </c>
      <c r="C22">
        <v>0.227</v>
      </c>
      <c r="D22">
        <v>3.138</v>
      </c>
      <c r="E22">
        <v>-0.052</v>
      </c>
      <c r="F22">
        <v>-0.12</v>
      </c>
      <c r="G22">
        <v>0</v>
      </c>
      <c r="H22">
        <v>-0.52</v>
      </c>
    </row>
    <row r="23" spans="2:8" ht="12.75">
      <c r="B23" t="s">
        <v>242</v>
      </c>
      <c r="C23">
        <v>0.5</v>
      </c>
      <c r="D23">
        <v>7.606</v>
      </c>
      <c r="E23">
        <v>-0.271</v>
      </c>
      <c r="F23">
        <v>-0.62</v>
      </c>
      <c r="G23">
        <v>0</v>
      </c>
      <c r="H23">
        <v>-1.15</v>
      </c>
    </row>
    <row r="24" spans="2:8" ht="12.75">
      <c r="B24" t="s">
        <v>243</v>
      </c>
      <c r="C24">
        <v>-0.345</v>
      </c>
      <c r="D24">
        <v>-3.618</v>
      </c>
      <c r="E24">
        <v>0.22</v>
      </c>
      <c r="F24">
        <v>0.51</v>
      </c>
      <c r="G24">
        <v>0</v>
      </c>
      <c r="H24">
        <v>0.79</v>
      </c>
    </row>
    <row r="25" spans="2:8" ht="12.75">
      <c r="B25">
        <v>14</v>
      </c>
      <c r="C25">
        <v>0.156</v>
      </c>
      <c r="D25">
        <v>2.749</v>
      </c>
      <c r="E25">
        <v>-0.043</v>
      </c>
      <c r="F25">
        <v>-0.1</v>
      </c>
      <c r="G25">
        <v>0</v>
      </c>
      <c r="H25">
        <v>-0.36</v>
      </c>
    </row>
    <row r="26" spans="2:8" ht="12.75">
      <c r="B26" t="s">
        <v>244</v>
      </c>
      <c r="C26">
        <v>0.007</v>
      </c>
      <c r="D26">
        <v>1.603</v>
      </c>
      <c r="E26">
        <v>-0.017</v>
      </c>
      <c r="F26">
        <v>-0.04</v>
      </c>
      <c r="G26">
        <v>0</v>
      </c>
      <c r="H26">
        <v>-0.02</v>
      </c>
    </row>
    <row r="27" spans="2:8" ht="12.75">
      <c r="B27" t="s">
        <v>245</v>
      </c>
      <c r="C27">
        <v>0.306</v>
      </c>
      <c r="D27">
        <v>3.894</v>
      </c>
      <c r="E27">
        <v>-0.069</v>
      </c>
      <c r="F27">
        <v>-0.16</v>
      </c>
      <c r="G27">
        <v>0</v>
      </c>
      <c r="H27">
        <v>-0.7</v>
      </c>
    </row>
    <row r="28" spans="2:8" ht="12.75">
      <c r="B28" t="s">
        <v>246</v>
      </c>
      <c r="C28">
        <v>0.578</v>
      </c>
      <c r="D28">
        <v>8.362</v>
      </c>
      <c r="E28">
        <v>-0.288</v>
      </c>
      <c r="F28">
        <v>-0.66</v>
      </c>
      <c r="G28">
        <v>0</v>
      </c>
      <c r="H28">
        <v>-1.33</v>
      </c>
    </row>
    <row r="29" spans="2:8" ht="12.75">
      <c r="B29" t="s">
        <v>247</v>
      </c>
      <c r="C29">
        <v>-0.266</v>
      </c>
      <c r="D29">
        <v>-2.863</v>
      </c>
      <c r="E29">
        <v>0.203</v>
      </c>
      <c r="F29">
        <v>0.47</v>
      </c>
      <c r="G29">
        <v>0</v>
      </c>
      <c r="H29">
        <v>0.61</v>
      </c>
    </row>
    <row r="30" spans="1:8" ht="12.75">
      <c r="A30">
        <v>6</v>
      </c>
      <c r="B30" t="s">
        <v>240</v>
      </c>
      <c r="C30">
        <v>-0.101</v>
      </c>
      <c r="D30">
        <v>2.291</v>
      </c>
      <c r="E30">
        <v>-0.033</v>
      </c>
      <c r="F30">
        <v>-0.08</v>
      </c>
      <c r="G30">
        <v>0</v>
      </c>
      <c r="H30">
        <v>0.23</v>
      </c>
    </row>
    <row r="31" spans="2:8" ht="12.75">
      <c r="B31" t="s">
        <v>241</v>
      </c>
      <c r="C31">
        <v>0.188</v>
      </c>
      <c r="D31">
        <v>0.003</v>
      </c>
      <c r="E31">
        <v>0.018</v>
      </c>
      <c r="F31">
        <v>0.04</v>
      </c>
      <c r="G31">
        <v>0</v>
      </c>
      <c r="H31">
        <v>-0.43</v>
      </c>
    </row>
    <row r="32" spans="2:8" ht="12.75">
      <c r="B32" t="s">
        <v>242</v>
      </c>
      <c r="C32">
        <v>0.194</v>
      </c>
      <c r="D32">
        <v>6.94</v>
      </c>
      <c r="E32">
        <v>-0.922</v>
      </c>
      <c r="F32">
        <v>-2.12</v>
      </c>
      <c r="G32">
        <v>0</v>
      </c>
      <c r="H32">
        <v>-0.45</v>
      </c>
    </row>
    <row r="33" spans="2:8" ht="12.75">
      <c r="B33" t="s">
        <v>243</v>
      </c>
      <c r="C33">
        <v>-0.107</v>
      </c>
      <c r="D33">
        <v>-4.649</v>
      </c>
      <c r="E33">
        <v>0.907</v>
      </c>
      <c r="F33">
        <v>2.09</v>
      </c>
      <c r="G33">
        <v>0</v>
      </c>
      <c r="H33">
        <v>0.25</v>
      </c>
    </row>
    <row r="34" spans="2:8" ht="12.75">
      <c r="B34">
        <v>14</v>
      </c>
      <c r="C34">
        <v>0.065</v>
      </c>
      <c r="D34">
        <v>2.697</v>
      </c>
      <c r="E34">
        <v>-0.15</v>
      </c>
      <c r="F34">
        <v>-0.35</v>
      </c>
      <c r="G34">
        <v>0</v>
      </c>
      <c r="H34">
        <v>-0.15</v>
      </c>
    </row>
    <row r="35" spans="2:8" ht="12.75">
      <c r="B35" t="s">
        <v>244</v>
      </c>
      <c r="C35">
        <v>-0.079</v>
      </c>
      <c r="D35">
        <v>3.842</v>
      </c>
      <c r="E35">
        <v>-0.176</v>
      </c>
      <c r="F35">
        <v>-0.41</v>
      </c>
      <c r="G35">
        <v>0</v>
      </c>
      <c r="H35">
        <v>0.18</v>
      </c>
    </row>
    <row r="36" spans="2:8" ht="12.75">
      <c r="B36" t="s">
        <v>245</v>
      </c>
      <c r="C36">
        <v>0.209</v>
      </c>
      <c r="D36">
        <v>1.554</v>
      </c>
      <c r="E36">
        <v>-0.125</v>
      </c>
      <c r="F36">
        <v>-0.29</v>
      </c>
      <c r="G36">
        <v>0</v>
      </c>
      <c r="H36">
        <v>-0.48</v>
      </c>
    </row>
    <row r="37" spans="2:8" ht="12.75">
      <c r="B37" t="s">
        <v>246</v>
      </c>
      <c r="C37">
        <v>0.216</v>
      </c>
      <c r="D37">
        <v>8.491</v>
      </c>
      <c r="E37">
        <v>-1.065</v>
      </c>
      <c r="F37">
        <v>-2.45</v>
      </c>
      <c r="G37">
        <v>0</v>
      </c>
      <c r="H37">
        <v>-0.5</v>
      </c>
    </row>
    <row r="38" spans="2:8" ht="12.75">
      <c r="B38" t="s">
        <v>247</v>
      </c>
      <c r="C38">
        <v>-0.086</v>
      </c>
      <c r="D38">
        <v>-3.097</v>
      </c>
      <c r="E38">
        <v>0.764</v>
      </c>
      <c r="F38">
        <v>1.76</v>
      </c>
      <c r="G38">
        <v>0</v>
      </c>
      <c r="H38">
        <v>0.2</v>
      </c>
    </row>
    <row r="39" spans="1:8" ht="12.75">
      <c r="A39">
        <v>7</v>
      </c>
      <c r="B39" t="s">
        <v>240</v>
      </c>
      <c r="C39">
        <v>-0.184</v>
      </c>
      <c r="D39">
        <v>0.105</v>
      </c>
      <c r="E39">
        <v>-0.017</v>
      </c>
      <c r="F39">
        <v>-0.04</v>
      </c>
      <c r="G39">
        <v>0</v>
      </c>
      <c r="H39">
        <v>0.42</v>
      </c>
    </row>
    <row r="40" spans="2:8" ht="12.75">
      <c r="B40" t="s">
        <v>241</v>
      </c>
      <c r="C40">
        <v>0.097</v>
      </c>
      <c r="D40">
        <v>2.203</v>
      </c>
      <c r="E40">
        <v>0.033</v>
      </c>
      <c r="F40">
        <v>0.07</v>
      </c>
      <c r="G40">
        <v>0</v>
      </c>
      <c r="H40">
        <v>-0.22</v>
      </c>
    </row>
    <row r="41" spans="2:8" ht="12.75">
      <c r="B41" t="s">
        <v>242</v>
      </c>
      <c r="C41">
        <v>0.141</v>
      </c>
      <c r="D41">
        <v>-4.62</v>
      </c>
      <c r="E41">
        <v>-0.926</v>
      </c>
      <c r="F41">
        <v>-2.13</v>
      </c>
      <c r="G41">
        <v>0</v>
      </c>
      <c r="H41">
        <v>-0.32</v>
      </c>
    </row>
    <row r="42" spans="2:8" ht="12.75">
      <c r="B42" t="s">
        <v>243</v>
      </c>
      <c r="C42">
        <v>-0.228</v>
      </c>
      <c r="D42">
        <v>6.925</v>
      </c>
      <c r="E42">
        <v>0.941</v>
      </c>
      <c r="F42">
        <v>2.16</v>
      </c>
      <c r="G42">
        <v>0</v>
      </c>
      <c r="H42">
        <v>0.52</v>
      </c>
    </row>
    <row r="43" spans="2:8" ht="12.75">
      <c r="B43">
        <v>14</v>
      </c>
      <c r="C43">
        <v>-0.196</v>
      </c>
      <c r="D43">
        <v>-0.868</v>
      </c>
      <c r="E43">
        <v>-0.141</v>
      </c>
      <c r="F43">
        <v>-0.32</v>
      </c>
      <c r="G43">
        <v>0</v>
      </c>
      <c r="H43">
        <v>0.45</v>
      </c>
    </row>
    <row r="44" spans="2:8" ht="12.75">
      <c r="B44" t="s">
        <v>244</v>
      </c>
      <c r="C44">
        <v>-0.336</v>
      </c>
      <c r="D44">
        <v>-1.916</v>
      </c>
      <c r="E44">
        <v>-0.166</v>
      </c>
      <c r="F44">
        <v>-0.38</v>
      </c>
      <c r="G44">
        <v>0</v>
      </c>
      <c r="H44">
        <v>0.77</v>
      </c>
    </row>
    <row r="45" spans="2:8" ht="12.75">
      <c r="B45" t="s">
        <v>245</v>
      </c>
      <c r="C45">
        <v>-0.056</v>
      </c>
      <c r="D45">
        <v>0.182</v>
      </c>
      <c r="E45">
        <v>-0.116</v>
      </c>
      <c r="F45">
        <v>-0.27</v>
      </c>
      <c r="G45">
        <v>0</v>
      </c>
      <c r="H45">
        <v>0.13</v>
      </c>
    </row>
    <row r="46" spans="2:8" ht="12.75">
      <c r="B46" t="s">
        <v>246</v>
      </c>
      <c r="C46">
        <v>-0.012</v>
      </c>
      <c r="D46">
        <v>-6.64</v>
      </c>
      <c r="E46">
        <v>-1.074</v>
      </c>
      <c r="F46">
        <v>-2.47</v>
      </c>
      <c r="G46">
        <v>0</v>
      </c>
      <c r="H46">
        <v>0.03</v>
      </c>
    </row>
    <row r="47" spans="2:8" ht="12.75">
      <c r="B47" t="s">
        <v>247</v>
      </c>
      <c r="C47">
        <v>-0.38</v>
      </c>
      <c r="D47">
        <v>4.904</v>
      </c>
      <c r="E47">
        <v>0.793</v>
      </c>
      <c r="F47">
        <v>1.82</v>
      </c>
      <c r="G47">
        <v>0</v>
      </c>
      <c r="H47">
        <v>0.87</v>
      </c>
    </row>
    <row r="48" spans="1:8" ht="12.75">
      <c r="A48">
        <v>8</v>
      </c>
      <c r="B48" t="s">
        <v>240</v>
      </c>
      <c r="C48">
        <v>-0.184</v>
      </c>
      <c r="D48">
        <v>0.105</v>
      </c>
      <c r="E48">
        <v>0.017</v>
      </c>
      <c r="F48">
        <v>0.04</v>
      </c>
      <c r="G48">
        <v>0</v>
      </c>
      <c r="H48">
        <v>0.42</v>
      </c>
    </row>
    <row r="49" spans="2:8" ht="12.75">
      <c r="B49" t="s">
        <v>241</v>
      </c>
      <c r="C49">
        <v>0.097</v>
      </c>
      <c r="D49">
        <v>2.203</v>
      </c>
      <c r="E49">
        <v>-0.033</v>
      </c>
      <c r="F49">
        <v>-0.08</v>
      </c>
      <c r="G49">
        <v>0</v>
      </c>
      <c r="H49">
        <v>-0.22</v>
      </c>
    </row>
    <row r="50" spans="2:8" ht="12.75">
      <c r="B50" t="s">
        <v>242</v>
      </c>
      <c r="C50">
        <v>-0.223</v>
      </c>
      <c r="D50">
        <v>6.973</v>
      </c>
      <c r="E50">
        <v>-0.943</v>
      </c>
      <c r="F50">
        <v>-2.17</v>
      </c>
      <c r="G50">
        <v>0</v>
      </c>
      <c r="H50">
        <v>0.51</v>
      </c>
    </row>
    <row r="51" spans="2:8" ht="12.75">
      <c r="B51" t="s">
        <v>243</v>
      </c>
      <c r="C51">
        <v>0.136</v>
      </c>
      <c r="D51">
        <v>-4.668</v>
      </c>
      <c r="E51">
        <v>0.927</v>
      </c>
      <c r="F51">
        <v>2.13</v>
      </c>
      <c r="G51">
        <v>0</v>
      </c>
      <c r="H51">
        <v>-0.31</v>
      </c>
    </row>
    <row r="52" spans="2:8" ht="12.75">
      <c r="B52">
        <v>14</v>
      </c>
      <c r="C52">
        <v>-0.258</v>
      </c>
      <c r="D52">
        <v>0.592</v>
      </c>
      <c r="E52">
        <v>-0.097</v>
      </c>
      <c r="F52">
        <v>-0.22</v>
      </c>
      <c r="G52">
        <v>0</v>
      </c>
      <c r="H52">
        <v>0.59</v>
      </c>
    </row>
    <row r="53" spans="2:8" ht="12.75">
      <c r="B53" t="s">
        <v>244</v>
      </c>
      <c r="C53">
        <v>-0.398</v>
      </c>
      <c r="D53">
        <v>-0.455</v>
      </c>
      <c r="E53">
        <v>-0.072</v>
      </c>
      <c r="F53">
        <v>-0.17</v>
      </c>
      <c r="G53">
        <v>0</v>
      </c>
      <c r="H53">
        <v>0.92</v>
      </c>
    </row>
    <row r="54" spans="2:8" ht="12.75">
      <c r="B54" t="s">
        <v>245</v>
      </c>
      <c r="C54">
        <v>-0.117</v>
      </c>
      <c r="D54">
        <v>1.642</v>
      </c>
      <c r="E54">
        <v>-0.122</v>
      </c>
      <c r="F54">
        <v>-0.28</v>
      </c>
      <c r="G54">
        <v>0</v>
      </c>
      <c r="H54">
        <v>0.27</v>
      </c>
    </row>
    <row r="55" spans="2:8" ht="12.75">
      <c r="B55" t="s">
        <v>246</v>
      </c>
      <c r="C55">
        <v>-0.438</v>
      </c>
      <c r="D55">
        <v>6.413</v>
      </c>
      <c r="E55">
        <v>-1.032</v>
      </c>
      <c r="F55">
        <v>-2.37</v>
      </c>
      <c r="G55">
        <v>0</v>
      </c>
      <c r="H55">
        <v>1.01</v>
      </c>
    </row>
    <row r="56" spans="2:8" ht="12.75">
      <c r="B56" t="s">
        <v>247</v>
      </c>
      <c r="C56">
        <v>-0.078</v>
      </c>
      <c r="D56">
        <v>-5.229</v>
      </c>
      <c r="E56">
        <v>0.838</v>
      </c>
      <c r="F56">
        <v>1.93</v>
      </c>
      <c r="G56">
        <v>0</v>
      </c>
      <c r="H56">
        <v>0.18</v>
      </c>
    </row>
    <row r="57" spans="1:8" ht="12.75">
      <c r="A57">
        <v>9</v>
      </c>
      <c r="B57" t="s">
        <v>240</v>
      </c>
      <c r="C57">
        <v>-0.212</v>
      </c>
      <c r="D57">
        <v>3.032</v>
      </c>
      <c r="E57">
        <v>0.051</v>
      </c>
      <c r="F57">
        <v>0.12</v>
      </c>
      <c r="G57">
        <v>0</v>
      </c>
      <c r="H57">
        <v>0.49</v>
      </c>
    </row>
    <row r="58" spans="2:8" ht="12.75">
      <c r="B58" t="s">
        <v>241</v>
      </c>
      <c r="C58">
        <v>0.058</v>
      </c>
      <c r="D58">
        <v>0.932</v>
      </c>
      <c r="E58">
        <v>0.002</v>
      </c>
      <c r="F58">
        <v>0.01</v>
      </c>
      <c r="G58">
        <v>0</v>
      </c>
      <c r="H58">
        <v>-0.13</v>
      </c>
    </row>
    <row r="59" spans="2:8" ht="12.75">
      <c r="B59" t="s">
        <v>242</v>
      </c>
      <c r="C59">
        <v>0.378</v>
      </c>
      <c r="D59">
        <v>-3.629</v>
      </c>
      <c r="E59">
        <v>-0.206</v>
      </c>
      <c r="F59">
        <v>-0.47</v>
      </c>
      <c r="G59">
        <v>0</v>
      </c>
      <c r="H59">
        <v>-0.87</v>
      </c>
    </row>
    <row r="60" spans="2:8" ht="12.75">
      <c r="B60" t="s">
        <v>243</v>
      </c>
      <c r="C60">
        <v>-0.532</v>
      </c>
      <c r="D60">
        <v>7.595</v>
      </c>
      <c r="E60">
        <v>0.26</v>
      </c>
      <c r="F60">
        <v>0.6</v>
      </c>
      <c r="G60">
        <v>0</v>
      </c>
      <c r="H60">
        <v>1.22</v>
      </c>
    </row>
    <row r="61" spans="2:8" ht="12.75">
      <c r="B61">
        <v>14</v>
      </c>
      <c r="C61">
        <v>-0.22</v>
      </c>
      <c r="D61">
        <v>3.492</v>
      </c>
      <c r="E61">
        <v>0.069</v>
      </c>
      <c r="F61">
        <v>0.16</v>
      </c>
      <c r="G61">
        <v>0</v>
      </c>
      <c r="H61">
        <v>0.51</v>
      </c>
    </row>
    <row r="62" spans="2:8" ht="12.75">
      <c r="B62" t="s">
        <v>244</v>
      </c>
      <c r="C62">
        <v>-0.355</v>
      </c>
      <c r="D62">
        <v>4.541</v>
      </c>
      <c r="E62">
        <v>0.093</v>
      </c>
      <c r="F62">
        <v>0.21</v>
      </c>
      <c r="G62">
        <v>0</v>
      </c>
      <c r="H62">
        <v>0.82</v>
      </c>
    </row>
    <row r="63" spans="2:8" ht="12.75">
      <c r="B63" t="s">
        <v>245</v>
      </c>
      <c r="C63">
        <v>-0.084</v>
      </c>
      <c r="D63">
        <v>2.441</v>
      </c>
      <c r="E63">
        <v>0.044</v>
      </c>
      <c r="F63">
        <v>0.1</v>
      </c>
      <c r="G63">
        <v>0</v>
      </c>
      <c r="H63">
        <v>0.19</v>
      </c>
    </row>
    <row r="64" spans="2:8" ht="12.75">
      <c r="B64" t="s">
        <v>246</v>
      </c>
      <c r="C64">
        <v>0.235</v>
      </c>
      <c r="D64">
        <v>-2.12</v>
      </c>
      <c r="E64">
        <v>-0.165</v>
      </c>
      <c r="F64">
        <v>-0.38</v>
      </c>
      <c r="G64">
        <v>0</v>
      </c>
      <c r="H64">
        <v>-0.54</v>
      </c>
    </row>
    <row r="65" spans="2:8" ht="12.75">
      <c r="B65" t="s">
        <v>247</v>
      </c>
      <c r="C65">
        <v>-0.675</v>
      </c>
      <c r="D65">
        <v>9.105</v>
      </c>
      <c r="E65">
        <v>0.302</v>
      </c>
      <c r="F65">
        <v>0.69</v>
      </c>
      <c r="G65">
        <v>0</v>
      </c>
      <c r="H65">
        <v>1.55</v>
      </c>
    </row>
    <row r="66" spans="1:8" ht="12.75">
      <c r="A66">
        <v>10</v>
      </c>
      <c r="B66" t="s">
        <v>240</v>
      </c>
      <c r="C66">
        <v>-0.213</v>
      </c>
      <c r="D66">
        <v>3.032</v>
      </c>
      <c r="E66">
        <v>-0.051</v>
      </c>
      <c r="F66">
        <v>-0.12</v>
      </c>
      <c r="G66">
        <v>0</v>
      </c>
      <c r="H66">
        <v>0.49</v>
      </c>
    </row>
    <row r="67" spans="2:8" ht="12.75">
      <c r="B67" t="s">
        <v>241</v>
      </c>
      <c r="C67">
        <v>0.058</v>
      </c>
      <c r="D67">
        <v>0.931</v>
      </c>
      <c r="E67">
        <v>-0.002</v>
      </c>
      <c r="F67">
        <v>0</v>
      </c>
      <c r="G67">
        <v>0</v>
      </c>
      <c r="H67">
        <v>-0.13</v>
      </c>
    </row>
    <row r="68" spans="2:8" ht="12.75">
      <c r="B68" t="s">
        <v>242</v>
      </c>
      <c r="C68">
        <v>-0.528</v>
      </c>
      <c r="D68">
        <v>7.546</v>
      </c>
      <c r="E68">
        <v>-0.259</v>
      </c>
      <c r="F68">
        <v>-0.6</v>
      </c>
      <c r="G68">
        <v>0</v>
      </c>
      <c r="H68">
        <v>1.21</v>
      </c>
    </row>
    <row r="69" spans="2:8" ht="12.75">
      <c r="B69" t="s">
        <v>243</v>
      </c>
      <c r="C69">
        <v>0.373</v>
      </c>
      <c r="D69">
        <v>-3.581</v>
      </c>
      <c r="E69">
        <v>0.206</v>
      </c>
      <c r="F69">
        <v>0.47</v>
      </c>
      <c r="G69">
        <v>0</v>
      </c>
      <c r="H69">
        <v>-0.86</v>
      </c>
    </row>
    <row r="70" spans="2:8" ht="12.75">
      <c r="B70">
        <v>14</v>
      </c>
      <c r="C70">
        <v>-0.35</v>
      </c>
      <c r="D70">
        <v>4.888</v>
      </c>
      <c r="E70">
        <v>-0.093</v>
      </c>
      <c r="F70">
        <v>-0.21</v>
      </c>
      <c r="G70">
        <v>0</v>
      </c>
      <c r="H70">
        <v>0.81</v>
      </c>
    </row>
    <row r="71" spans="2:8" ht="12.75">
      <c r="B71" t="s">
        <v>244</v>
      </c>
      <c r="C71">
        <v>-0.485</v>
      </c>
      <c r="D71">
        <v>5.937</v>
      </c>
      <c r="E71">
        <v>-0.118</v>
      </c>
      <c r="F71">
        <v>-0.27</v>
      </c>
      <c r="G71">
        <v>0</v>
      </c>
      <c r="H71">
        <v>1.12</v>
      </c>
    </row>
    <row r="72" spans="2:8" ht="12.75">
      <c r="B72" t="s">
        <v>245</v>
      </c>
      <c r="C72">
        <v>-0.215</v>
      </c>
      <c r="D72">
        <v>3.837</v>
      </c>
      <c r="E72">
        <v>-0.069</v>
      </c>
      <c r="F72">
        <v>-0.16</v>
      </c>
      <c r="G72">
        <v>0</v>
      </c>
      <c r="H72">
        <v>0.49</v>
      </c>
    </row>
    <row r="73" spans="2:8" ht="12.75">
      <c r="B73" t="s">
        <v>246</v>
      </c>
      <c r="C73">
        <v>-0.801</v>
      </c>
      <c r="D73">
        <v>10.452</v>
      </c>
      <c r="E73">
        <v>-0.326</v>
      </c>
      <c r="F73">
        <v>-0.75</v>
      </c>
      <c r="G73">
        <v>0</v>
      </c>
      <c r="H73">
        <v>1.84</v>
      </c>
    </row>
    <row r="74" spans="2:8" ht="12.75">
      <c r="B74" t="s">
        <v>247</v>
      </c>
      <c r="C74">
        <v>0.1</v>
      </c>
      <c r="D74">
        <v>-0.675</v>
      </c>
      <c r="E74">
        <v>0.139</v>
      </c>
      <c r="F74">
        <v>0.32</v>
      </c>
      <c r="G74">
        <v>0</v>
      </c>
      <c r="H74">
        <v>-0.23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7"/>
  <sheetViews>
    <sheetView tabSelected="1" view="pageBreakPreview" zoomScaleSheetLayoutView="100" workbookViewId="0" topLeftCell="A273">
      <selection activeCell="G318" sqref="G318"/>
    </sheetView>
  </sheetViews>
  <sheetFormatPr defaultColWidth="9.140625" defaultRowHeight="12.75"/>
  <cols>
    <col min="3" max="3" width="9.421875" style="0" customWidth="1"/>
  </cols>
  <sheetData>
    <row r="1" ht="12.75">
      <c r="A1" s="2" t="s">
        <v>239</v>
      </c>
    </row>
    <row r="3" ht="12.75">
      <c r="F3" s="3">
        <f>C19+F19+J19</f>
        <v>3</v>
      </c>
    </row>
    <row r="6" spans="2:4" ht="12.75">
      <c r="B6" s="4">
        <f>B16</f>
        <v>1.05</v>
      </c>
      <c r="D6" s="5">
        <v>0.4</v>
      </c>
    </row>
    <row r="7" spans="5:9" ht="12.75">
      <c r="E7" s="6">
        <v>7</v>
      </c>
      <c r="I7" s="6">
        <v>9</v>
      </c>
    </row>
    <row r="8" ht="12.75">
      <c r="C8" s="7">
        <v>0.6</v>
      </c>
    </row>
    <row r="9" spans="5:9" ht="12.75">
      <c r="E9" s="8"/>
      <c r="H9" s="5">
        <f>B11/2</f>
        <v>0.75</v>
      </c>
      <c r="I9" s="8"/>
    </row>
    <row r="11" spans="2:12" ht="12.75">
      <c r="B11" s="5">
        <v>1.5</v>
      </c>
      <c r="L11">
        <f>B6+B11+B16</f>
        <v>3.5999999999999996</v>
      </c>
    </row>
    <row r="13" spans="5:9" ht="12.75">
      <c r="E13" s="6">
        <v>8</v>
      </c>
      <c r="I13" s="6">
        <v>10</v>
      </c>
    </row>
    <row r="15" spans="5:9" ht="12.75">
      <c r="E15" s="8"/>
      <c r="I15" s="8"/>
    </row>
    <row r="16" spans="2:7" ht="12.75">
      <c r="B16" s="9">
        <v>1.05</v>
      </c>
      <c r="G16" s="7">
        <f>F19/2</f>
        <v>0.75</v>
      </c>
    </row>
    <row r="19" spans="3:10" ht="12.75">
      <c r="C19" s="10">
        <v>0.75</v>
      </c>
      <c r="F19" s="7">
        <v>1.5</v>
      </c>
      <c r="J19" s="11">
        <f>C19</f>
        <v>0.75</v>
      </c>
    </row>
    <row r="21" ht="12.75">
      <c r="F21" t="s">
        <v>0</v>
      </c>
    </row>
    <row r="23" ht="12.75">
      <c r="K23">
        <f>L24-K27</f>
        <v>1.25</v>
      </c>
    </row>
    <row r="24" ht="12.75">
      <c r="L24" s="12">
        <v>2</v>
      </c>
    </row>
    <row r="27" ht="12.75">
      <c r="K27" s="7">
        <v>0.75</v>
      </c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5.75">
      <c r="A30" s="13"/>
      <c r="B30" s="13"/>
      <c r="C30" s="14" t="s">
        <v>1</v>
      </c>
      <c r="D30" s="15">
        <v>1.8</v>
      </c>
      <c r="E30" s="16" t="s">
        <v>2</v>
      </c>
      <c r="F30" s="13"/>
      <c r="G30" s="13"/>
      <c r="H30" s="13"/>
      <c r="I30" s="13"/>
    </row>
    <row r="31" spans="1:9" ht="15.75">
      <c r="A31" s="13"/>
      <c r="B31" s="13"/>
      <c r="C31" s="14" t="s">
        <v>3</v>
      </c>
      <c r="D31" s="15">
        <v>1</v>
      </c>
      <c r="E31" s="16" t="s">
        <v>2</v>
      </c>
      <c r="F31" s="13"/>
      <c r="G31" s="13"/>
      <c r="H31" s="13"/>
      <c r="I31" s="13"/>
    </row>
    <row r="32" spans="1:9" ht="15.75">
      <c r="A32" s="13"/>
      <c r="B32" s="13"/>
      <c r="C32" s="14" t="s">
        <v>4</v>
      </c>
      <c r="D32" s="15">
        <v>2.5</v>
      </c>
      <c r="E32" s="16" t="s">
        <v>2</v>
      </c>
      <c r="F32" s="13"/>
      <c r="G32" s="13"/>
      <c r="H32" s="13"/>
      <c r="I32" s="13"/>
    </row>
    <row r="33" spans="1:9" ht="15.75">
      <c r="A33" s="13"/>
      <c r="B33" s="13"/>
      <c r="C33" s="14" t="s">
        <v>5</v>
      </c>
      <c r="D33" s="15">
        <v>30</v>
      </c>
      <c r="E33" s="16" t="s">
        <v>6</v>
      </c>
      <c r="F33" s="13"/>
      <c r="G33" s="13"/>
      <c r="H33" s="13"/>
      <c r="I33" s="13"/>
    </row>
    <row r="34" spans="1:9" ht="15.75">
      <c r="A34" s="13"/>
      <c r="B34" s="13"/>
      <c r="C34" s="14" t="s">
        <v>7</v>
      </c>
      <c r="D34" s="15">
        <v>415</v>
      </c>
      <c r="E34" s="16" t="s">
        <v>6</v>
      </c>
      <c r="F34" s="13"/>
      <c r="G34" s="13"/>
      <c r="H34" s="13"/>
      <c r="I34" s="13"/>
    </row>
    <row r="35" spans="1:9" ht="12.75">
      <c r="A35" s="13"/>
      <c r="B35" s="13"/>
      <c r="C35" s="14" t="s">
        <v>207</v>
      </c>
      <c r="D35" s="17">
        <v>0.5</v>
      </c>
      <c r="E35" s="16"/>
      <c r="F35" s="13"/>
      <c r="G35" s="13"/>
      <c r="H35" s="13"/>
      <c r="I35" s="13"/>
    </row>
    <row r="36" spans="1:9" ht="15.75">
      <c r="A36" s="13"/>
      <c r="B36" s="13"/>
      <c r="C36" s="14" t="s">
        <v>8</v>
      </c>
      <c r="D36" s="17">
        <v>8</v>
      </c>
      <c r="E36" s="16" t="s">
        <v>9</v>
      </c>
      <c r="F36" s="13"/>
      <c r="G36" s="13"/>
      <c r="H36" s="13"/>
      <c r="I36" s="13"/>
    </row>
    <row r="37" spans="1:9" ht="15.75">
      <c r="A37" s="13"/>
      <c r="B37" s="13"/>
      <c r="C37" s="14" t="s">
        <v>10</v>
      </c>
      <c r="D37" s="18">
        <f>1.25*D36+D42*1.8</f>
        <v>13.6</v>
      </c>
      <c r="E37" s="16" t="s">
        <v>208</v>
      </c>
      <c r="F37" s="19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4.25">
      <c r="A39" s="13"/>
      <c r="B39" s="13"/>
      <c r="C39" s="14" t="s">
        <v>209</v>
      </c>
      <c r="D39" s="20">
        <f>F3</f>
        <v>3</v>
      </c>
      <c r="E39" s="13" t="s">
        <v>11</v>
      </c>
      <c r="F39" s="13"/>
      <c r="G39" s="13"/>
      <c r="H39" s="13"/>
      <c r="I39" s="13"/>
    </row>
    <row r="40" spans="1:9" ht="14.25">
      <c r="A40" s="13"/>
      <c r="B40" s="13"/>
      <c r="C40" s="14" t="s">
        <v>210</v>
      </c>
      <c r="D40" s="20">
        <f>L11</f>
        <v>3.5999999999999996</v>
      </c>
      <c r="E40" s="13" t="s">
        <v>11</v>
      </c>
      <c r="F40" s="13"/>
      <c r="G40" s="13"/>
      <c r="H40" s="13"/>
      <c r="I40" s="13"/>
    </row>
    <row r="41" spans="1:9" ht="14.25">
      <c r="A41" s="13"/>
      <c r="B41" s="13"/>
      <c r="C41" s="14" t="s">
        <v>211</v>
      </c>
      <c r="D41" s="20">
        <f>K27</f>
        <v>0.75</v>
      </c>
      <c r="E41" s="13" t="s">
        <v>11</v>
      </c>
      <c r="F41" s="13"/>
      <c r="G41" s="13"/>
      <c r="H41" s="13"/>
      <c r="I41" s="13"/>
    </row>
    <row r="42" spans="1:9" ht="14.25">
      <c r="A42" s="13"/>
      <c r="B42" s="13"/>
      <c r="C42" s="14" t="s">
        <v>212</v>
      </c>
      <c r="D42" s="20">
        <f>L24</f>
        <v>2</v>
      </c>
      <c r="E42" s="13" t="s">
        <v>11</v>
      </c>
      <c r="F42" s="13"/>
      <c r="G42" s="21" t="s">
        <v>12</v>
      </c>
      <c r="H42" s="13"/>
      <c r="I42" s="13"/>
    </row>
    <row r="43" spans="1:9" ht="14.25">
      <c r="A43" s="13"/>
      <c r="B43" s="13"/>
      <c r="C43" s="14" t="s">
        <v>213</v>
      </c>
      <c r="D43" s="20">
        <f>D6</f>
        <v>0.4</v>
      </c>
      <c r="E43" s="13" t="s">
        <v>11</v>
      </c>
      <c r="F43" s="13"/>
      <c r="G43" s="13"/>
      <c r="H43" s="13"/>
      <c r="I43" s="13"/>
    </row>
    <row r="44" spans="1:9" ht="14.25">
      <c r="A44" s="13"/>
      <c r="B44" s="13"/>
      <c r="C44" s="14" t="s">
        <v>214</v>
      </c>
      <c r="D44" s="20">
        <f>C8</f>
        <v>0.6</v>
      </c>
      <c r="E44" s="13" t="s">
        <v>11</v>
      </c>
      <c r="F44" s="13"/>
      <c r="G44" s="13"/>
      <c r="H44" s="13"/>
      <c r="I44" s="13"/>
    </row>
    <row r="45" spans="1:9" ht="14.25">
      <c r="A45" s="13"/>
      <c r="B45" s="13"/>
      <c r="C45" s="14" t="s">
        <v>215</v>
      </c>
      <c r="D45" s="20">
        <f>K23</f>
        <v>1.25</v>
      </c>
      <c r="E45" s="13" t="s">
        <v>11</v>
      </c>
      <c r="F45" s="13"/>
      <c r="G45" s="13"/>
      <c r="H45" s="13"/>
      <c r="I45" s="13"/>
    </row>
    <row r="46" spans="1:9" ht="12.75">
      <c r="A46" s="13"/>
      <c r="B46" s="13"/>
      <c r="C46" s="13"/>
      <c r="D46" s="20"/>
      <c r="E46" s="13"/>
      <c r="F46" s="13"/>
      <c r="G46" s="13"/>
      <c r="H46" s="13"/>
      <c r="I46" s="13"/>
    </row>
    <row r="47" spans="1:9" ht="12.75">
      <c r="A47" s="13"/>
      <c r="B47" s="13"/>
      <c r="C47" s="14" t="s">
        <v>13</v>
      </c>
      <c r="D47" s="22" t="str">
        <f>CONCATENATE(D39," x ",D40," x ",D41," x ",D32)</f>
        <v>3 x 3.6 x 0.75 x 2.5</v>
      </c>
      <c r="E47" s="13"/>
      <c r="F47" s="13"/>
      <c r="G47" s="13"/>
      <c r="H47" s="13"/>
      <c r="I47" s="13"/>
    </row>
    <row r="48" spans="1:9" ht="12.75">
      <c r="A48" s="13"/>
      <c r="B48" s="13"/>
      <c r="C48" s="23" t="s">
        <v>14</v>
      </c>
      <c r="D48" s="20">
        <f>ROUND(D39*D40*D41*D32,2)</f>
        <v>20.25</v>
      </c>
      <c r="E48" s="13" t="s">
        <v>15</v>
      </c>
      <c r="F48" s="13"/>
      <c r="G48" s="13"/>
      <c r="H48" s="13"/>
      <c r="I48" s="13"/>
    </row>
    <row r="49" spans="1:9" ht="12.75">
      <c r="A49" s="13"/>
      <c r="B49" s="13"/>
      <c r="C49" s="14" t="s">
        <v>16</v>
      </c>
      <c r="D49" s="22" t="str">
        <f>CONCATENATE(D39," x ",D40," x ",D41," x ",D32-1)</f>
        <v>3 x 3.6 x 0.75 x 1.5</v>
      </c>
      <c r="E49" s="13"/>
      <c r="F49" s="13"/>
      <c r="G49" s="13"/>
      <c r="H49" s="13"/>
      <c r="I49" s="13"/>
    </row>
    <row r="50" spans="1:9" ht="12.75">
      <c r="A50" s="13"/>
      <c r="B50" s="13"/>
      <c r="C50" s="23" t="s">
        <v>14</v>
      </c>
      <c r="D50" s="20">
        <f>ROUND(D39*D40*D41*(D32-1),2)</f>
        <v>12.15</v>
      </c>
      <c r="E50" s="21" t="s">
        <v>15</v>
      </c>
      <c r="F50" s="13"/>
      <c r="G50" s="13"/>
      <c r="H50" s="13"/>
      <c r="I50" s="13"/>
    </row>
    <row r="51" spans="1:9" ht="12.75">
      <c r="A51" s="13"/>
      <c r="B51" s="13"/>
      <c r="C51" s="14" t="s">
        <v>17</v>
      </c>
      <c r="D51" s="13" t="str">
        <f>CONCATENATE(D30," x ",K23," x ( ",D39," x ",D40," - ",D44," x ",D43," x ",4," ) ")</f>
        <v>1.8 x 1.25 x ( 3 x 3.6 - 0.6 x 0.4 x 4 ) </v>
      </c>
      <c r="E51" s="13"/>
      <c r="F51" s="13"/>
      <c r="G51" s="13"/>
      <c r="H51" s="13"/>
      <c r="I51" s="13"/>
    </row>
    <row r="52" spans="1:9" ht="12.75">
      <c r="A52" s="13"/>
      <c r="B52" s="13"/>
      <c r="C52" s="23" t="s">
        <v>14</v>
      </c>
      <c r="D52" s="20">
        <f>ROUND(D30*K23*(D39*D40-D44*D43*4),2)</f>
        <v>22.14</v>
      </c>
      <c r="E52" s="13" t="s">
        <v>15</v>
      </c>
      <c r="F52" s="13"/>
      <c r="G52" s="13"/>
      <c r="H52" s="13"/>
      <c r="I52" s="13"/>
    </row>
    <row r="53" spans="1:9" ht="12.75">
      <c r="A53" s="13"/>
      <c r="B53" s="13"/>
      <c r="C53" s="14" t="s">
        <v>18</v>
      </c>
      <c r="D53" s="22" t="str">
        <f>CONCATENATE(D30-1," x ",K23," x ( ",D39," x ",D40," - ",D44," x ",D43," x ",4," ) ")</f>
        <v>0.8 x 1.25 x ( 3 x 3.6 - 0.6 x 0.4 x 4 ) </v>
      </c>
      <c r="E53" s="13"/>
      <c r="F53" s="13"/>
      <c r="G53" s="13"/>
      <c r="H53" s="13"/>
      <c r="I53" s="13"/>
    </row>
    <row r="54" spans="1:9" ht="12.75">
      <c r="A54" s="13"/>
      <c r="B54" s="13"/>
      <c r="C54" s="23" t="s">
        <v>14</v>
      </c>
      <c r="D54" s="20">
        <f>ROUND((D30-1)*K23*(D39*D40-D44*D43*4),2)</f>
        <v>9.84</v>
      </c>
      <c r="E54" s="13" t="s">
        <v>15</v>
      </c>
      <c r="F54" s="13"/>
      <c r="G54" s="13"/>
      <c r="H54" s="13"/>
      <c r="I54" s="13"/>
    </row>
    <row r="55" spans="1:9" ht="12.75">
      <c r="A55" s="13"/>
      <c r="B55" s="13"/>
      <c r="C55" s="14" t="s">
        <v>19</v>
      </c>
      <c r="D55" s="13" t="str">
        <f>CONCATENATE(D32," x ",D44," x ",D43," x ",D45," x ",4)</f>
        <v>2.5 x 0.6 x 0.4 x 1.25 x 4</v>
      </c>
      <c r="E55" s="13"/>
      <c r="F55" s="13"/>
      <c r="G55" s="13"/>
      <c r="H55" s="13"/>
      <c r="I55" s="13"/>
    </row>
    <row r="56" spans="1:9" ht="12.75">
      <c r="A56" s="13"/>
      <c r="B56" s="13"/>
      <c r="C56" s="23" t="s">
        <v>14</v>
      </c>
      <c r="D56" s="20">
        <f>ROUND(D32*D44*D43*D45*4,2)</f>
        <v>3</v>
      </c>
      <c r="E56" s="13" t="s">
        <v>15</v>
      </c>
      <c r="F56" s="13"/>
      <c r="G56" s="13"/>
      <c r="H56" s="13"/>
      <c r="I56" s="13"/>
    </row>
    <row r="57" spans="1:9" ht="12.75">
      <c r="A57" s="13"/>
      <c r="B57" s="13"/>
      <c r="C57" s="14" t="s">
        <v>20</v>
      </c>
      <c r="D57" s="22" t="str">
        <f>CONCATENATE(D32-1," x ",D44," x ",D43," x ",D45," x ",4)</f>
        <v>1.5 x 0.6 x 0.4 x 1.25 x 4</v>
      </c>
      <c r="E57" s="13"/>
      <c r="F57" s="13"/>
      <c r="G57" s="13"/>
      <c r="H57" s="13"/>
      <c r="I57" s="13"/>
    </row>
    <row r="58" spans="1:9" ht="12.75">
      <c r="A58" s="13"/>
      <c r="B58" s="13"/>
      <c r="C58" s="23" t="s">
        <v>14</v>
      </c>
      <c r="D58" s="20">
        <f>ROUND((D32-1)*D44*D43*D45*4,2)</f>
        <v>1.8</v>
      </c>
      <c r="E58" s="13" t="s">
        <v>15</v>
      </c>
      <c r="F58" s="13"/>
      <c r="G58" s="13"/>
      <c r="H58" s="13"/>
      <c r="I58" s="13"/>
    </row>
    <row r="59" spans="1:9" ht="12.75">
      <c r="A59" s="13"/>
      <c r="B59" s="13"/>
      <c r="C59" s="14" t="s">
        <v>21</v>
      </c>
      <c r="D59" s="22" t="str">
        <f>CONCATENATE(D48," + ",D52," + ",D56)</f>
        <v>20.25 + 22.14 + 3</v>
      </c>
      <c r="E59" s="13"/>
      <c r="F59" s="13"/>
      <c r="G59" s="13"/>
      <c r="H59" s="13"/>
      <c r="I59" s="13"/>
    </row>
    <row r="60" spans="1:9" ht="12.75">
      <c r="A60" s="13"/>
      <c r="B60" s="13"/>
      <c r="C60" s="23" t="s">
        <v>14</v>
      </c>
      <c r="D60" s="20">
        <f>ROUND(D48+D52+D56,2)</f>
        <v>45.39</v>
      </c>
      <c r="E60" s="13" t="s">
        <v>15</v>
      </c>
      <c r="F60" s="13"/>
      <c r="G60" s="13"/>
      <c r="H60" s="13"/>
      <c r="I60" s="13"/>
    </row>
    <row r="61" spans="1:9" ht="12.75">
      <c r="A61" s="13"/>
      <c r="B61" s="13"/>
      <c r="C61" s="14" t="s">
        <v>22</v>
      </c>
      <c r="D61" s="22" t="str">
        <f>CONCATENATE(D50," + ",D54," + ",D58,)</f>
        <v>12.15 + 9.84 + 1.8</v>
      </c>
      <c r="E61" s="13"/>
      <c r="F61" s="13"/>
      <c r="G61" s="13"/>
      <c r="H61" s="13"/>
      <c r="I61" s="13"/>
    </row>
    <row r="62" spans="1:9" ht="12.75">
      <c r="A62" s="13"/>
      <c r="B62" s="13"/>
      <c r="C62" s="23" t="s">
        <v>14</v>
      </c>
      <c r="D62" s="20">
        <f>ROUND(D50+D54+D58,2)</f>
        <v>23.79</v>
      </c>
      <c r="E62" s="13" t="s">
        <v>15</v>
      </c>
      <c r="F62" s="13"/>
      <c r="G62" s="13"/>
      <c r="H62" s="13"/>
      <c r="I62" s="13"/>
    </row>
    <row r="63" spans="1:9" ht="12.75">
      <c r="A63" s="13"/>
      <c r="B63" s="13"/>
      <c r="C63" s="23"/>
      <c r="D63" s="20"/>
      <c r="E63" s="13"/>
      <c r="F63" s="13"/>
      <c r="G63" s="13"/>
      <c r="H63" s="13"/>
      <c r="I63" s="13"/>
    </row>
    <row r="64" spans="1:9" ht="12.75">
      <c r="A64" s="21" t="s">
        <v>23</v>
      </c>
      <c r="B64" s="24"/>
      <c r="C64" s="24"/>
      <c r="D64" s="24"/>
      <c r="E64" s="13"/>
      <c r="F64" s="13"/>
      <c r="G64" s="13"/>
      <c r="H64" s="13"/>
      <c r="I64" s="13"/>
    </row>
    <row r="65" spans="1:11" ht="12.75">
      <c r="A65" s="24"/>
      <c r="F65" s="24"/>
      <c r="G65" s="24"/>
      <c r="H65" s="24"/>
      <c r="I65" s="24"/>
      <c r="J65" s="24"/>
      <c r="K65" s="24"/>
    </row>
    <row r="66" spans="1:11" ht="12.75">
      <c r="A66" s="25" t="s">
        <v>24</v>
      </c>
      <c r="B66" s="26" t="s">
        <v>25</v>
      </c>
      <c r="C66" s="27" t="s">
        <v>26</v>
      </c>
      <c r="D66" s="28"/>
      <c r="E66" s="29"/>
      <c r="F66" s="25" t="s">
        <v>27</v>
      </c>
      <c r="G66" s="25" t="s">
        <v>28</v>
      </c>
      <c r="H66" s="25" t="s">
        <v>29</v>
      </c>
      <c r="I66" s="25" t="s">
        <v>30</v>
      </c>
      <c r="J66" s="25" t="s">
        <v>31</v>
      </c>
      <c r="K66" s="25" t="s">
        <v>32</v>
      </c>
    </row>
    <row r="67" spans="1:11" ht="12.75">
      <c r="A67" s="30">
        <f>E7</f>
        <v>7</v>
      </c>
      <c r="B67" s="30">
        <v>1</v>
      </c>
      <c r="C67" s="31" t="s">
        <v>240</v>
      </c>
      <c r="D67" s="32"/>
      <c r="E67" s="24"/>
      <c r="F67" s="33">
        <v>-0.184</v>
      </c>
      <c r="G67" s="33">
        <v>0.105</v>
      </c>
      <c r="H67" s="33">
        <v>-0.017</v>
      </c>
      <c r="I67" s="33">
        <v>-0.04</v>
      </c>
      <c r="J67" s="33">
        <v>0</v>
      </c>
      <c r="K67" s="33">
        <v>0.42</v>
      </c>
    </row>
    <row r="68" spans="1:11" ht="12.75">
      <c r="A68" s="30"/>
      <c r="B68" s="30">
        <f aca="true" t="shared" si="0" ref="B68:B75">B67+1</f>
        <v>2</v>
      </c>
      <c r="C68" s="31" t="s">
        <v>241</v>
      </c>
      <c r="D68" s="32"/>
      <c r="E68" s="24"/>
      <c r="F68" s="33">
        <v>0.097</v>
      </c>
      <c r="G68" s="33">
        <v>2.203</v>
      </c>
      <c r="H68" s="33">
        <v>0.033</v>
      </c>
      <c r="I68" s="33">
        <v>0.07</v>
      </c>
      <c r="J68" s="33">
        <v>0</v>
      </c>
      <c r="K68" s="33">
        <v>-0.22</v>
      </c>
    </row>
    <row r="69" spans="1:11" ht="12.75">
      <c r="A69" s="30"/>
      <c r="B69" s="30">
        <f t="shared" si="0"/>
        <v>3</v>
      </c>
      <c r="C69" s="31" t="s">
        <v>242</v>
      </c>
      <c r="D69" s="32"/>
      <c r="E69" s="24"/>
      <c r="F69" s="33">
        <v>0.141</v>
      </c>
      <c r="G69" s="33">
        <v>-4.62</v>
      </c>
      <c r="H69" s="33">
        <v>-0.926</v>
      </c>
      <c r="I69" s="33">
        <v>-2.13</v>
      </c>
      <c r="J69" s="33">
        <v>0</v>
      </c>
      <c r="K69" s="33">
        <v>-0.32</v>
      </c>
    </row>
    <row r="70" spans="1:11" ht="12.75">
      <c r="A70" s="30"/>
      <c r="B70" s="30">
        <f t="shared" si="0"/>
        <v>4</v>
      </c>
      <c r="C70" s="31" t="s">
        <v>243</v>
      </c>
      <c r="D70" s="32"/>
      <c r="E70" s="24"/>
      <c r="F70" s="33">
        <v>-0.228</v>
      </c>
      <c r="G70" s="33">
        <v>6.925</v>
      </c>
      <c r="H70" s="33">
        <v>0.941</v>
      </c>
      <c r="I70" s="33">
        <v>2.16</v>
      </c>
      <c r="J70" s="33">
        <v>0</v>
      </c>
      <c r="K70" s="33">
        <v>0.52</v>
      </c>
    </row>
    <row r="71" spans="1:11" ht="12.75">
      <c r="A71" s="30"/>
      <c r="B71" s="30">
        <f t="shared" si="0"/>
        <v>5</v>
      </c>
      <c r="C71" s="31">
        <v>14</v>
      </c>
      <c r="D71" s="32"/>
      <c r="E71" s="24"/>
      <c r="F71" s="33">
        <v>-0.196</v>
      </c>
      <c r="G71" s="33">
        <v>-0.868</v>
      </c>
      <c r="H71" s="33">
        <v>-0.141</v>
      </c>
      <c r="I71" s="33">
        <v>-0.32</v>
      </c>
      <c r="J71" s="33">
        <v>0</v>
      </c>
      <c r="K71" s="33">
        <v>0.45</v>
      </c>
    </row>
    <row r="72" spans="1:11" ht="12.75">
      <c r="A72" s="30"/>
      <c r="B72" s="30">
        <f t="shared" si="0"/>
        <v>6</v>
      </c>
      <c r="C72" s="31" t="s">
        <v>244</v>
      </c>
      <c r="D72" s="32"/>
      <c r="E72" s="24"/>
      <c r="F72" s="33">
        <v>-0.336</v>
      </c>
      <c r="G72" s="33">
        <v>-1.916</v>
      </c>
      <c r="H72" s="33">
        <v>-0.166</v>
      </c>
      <c r="I72" s="33">
        <v>-0.38</v>
      </c>
      <c r="J72" s="33">
        <v>0</v>
      </c>
      <c r="K72" s="33">
        <v>0.77</v>
      </c>
    </row>
    <row r="73" spans="1:11" ht="12.75">
      <c r="A73" s="30"/>
      <c r="B73" s="30">
        <f t="shared" si="0"/>
        <v>7</v>
      </c>
      <c r="C73" s="31" t="s">
        <v>245</v>
      </c>
      <c r="D73" s="32"/>
      <c r="E73" s="24"/>
      <c r="F73" s="33">
        <v>-0.056</v>
      </c>
      <c r="G73" s="33">
        <v>0.182</v>
      </c>
      <c r="H73" s="33">
        <v>-0.116</v>
      </c>
      <c r="I73" s="33">
        <v>-0.27</v>
      </c>
      <c r="J73" s="33">
        <v>0</v>
      </c>
      <c r="K73" s="33">
        <v>0.13</v>
      </c>
    </row>
    <row r="74" spans="1:11" ht="12.75">
      <c r="A74" s="30"/>
      <c r="B74" s="30">
        <f t="shared" si="0"/>
        <v>8</v>
      </c>
      <c r="C74" s="31" t="s">
        <v>246</v>
      </c>
      <c r="D74" s="32"/>
      <c r="E74" s="24"/>
      <c r="F74" s="33">
        <v>-0.012</v>
      </c>
      <c r="G74" s="33">
        <v>-6.64</v>
      </c>
      <c r="H74" s="33">
        <v>-1.074</v>
      </c>
      <c r="I74" s="33">
        <v>-2.47</v>
      </c>
      <c r="J74" s="33">
        <v>0</v>
      </c>
      <c r="K74" s="33">
        <v>0.03</v>
      </c>
    </row>
    <row r="75" spans="1:11" ht="12.75">
      <c r="A75" s="30"/>
      <c r="B75" s="30">
        <f t="shared" si="0"/>
        <v>9</v>
      </c>
      <c r="C75" s="31" t="s">
        <v>247</v>
      </c>
      <c r="D75" s="32"/>
      <c r="E75" s="24"/>
      <c r="F75" s="33">
        <v>-0.38</v>
      </c>
      <c r="G75" s="33">
        <v>4.904</v>
      </c>
      <c r="H75" s="33">
        <v>0.793</v>
      </c>
      <c r="I75" s="33">
        <v>1.82</v>
      </c>
      <c r="J75" s="33">
        <v>0</v>
      </c>
      <c r="K75" s="33">
        <v>0.87</v>
      </c>
    </row>
    <row r="76" spans="1:11" ht="12.75">
      <c r="A76" s="30"/>
      <c r="B76" s="30"/>
      <c r="C76" s="31"/>
      <c r="D76" s="32"/>
      <c r="E76" s="24"/>
      <c r="F76" s="33"/>
      <c r="G76" s="33"/>
      <c r="H76" s="33"/>
      <c r="I76" s="33"/>
      <c r="J76" s="33"/>
      <c r="K76" s="33"/>
    </row>
    <row r="77" spans="1:11" ht="12.75">
      <c r="A77" s="34"/>
      <c r="B77" s="35"/>
      <c r="C77" s="36"/>
      <c r="D77" s="37"/>
      <c r="E77" s="38"/>
      <c r="F77" s="34"/>
      <c r="G77" s="34"/>
      <c r="H77" s="34"/>
      <c r="I77" s="34"/>
      <c r="J77" s="34"/>
      <c r="K77" s="34"/>
    </row>
    <row r="78" spans="1:11" ht="12.75">
      <c r="A78" s="39"/>
      <c r="B78" s="32"/>
      <c r="C78" s="39"/>
      <c r="D78" s="32"/>
      <c r="E78" s="32"/>
      <c r="F78" s="39"/>
      <c r="G78" s="39"/>
      <c r="H78" s="39"/>
      <c r="I78" s="39"/>
      <c r="J78" s="39"/>
      <c r="K78" s="39"/>
    </row>
    <row r="79" spans="1:4" ht="12.75">
      <c r="A79" s="21" t="s">
        <v>34</v>
      </c>
      <c r="B79" s="24"/>
      <c r="C79" s="24"/>
      <c r="D79" s="24"/>
    </row>
    <row r="80" spans="1:11" ht="12.75">
      <c r="A80" s="24"/>
      <c r="F80" s="24"/>
      <c r="G80" s="24"/>
      <c r="H80" s="24"/>
      <c r="I80" s="24"/>
      <c r="J80" s="24"/>
      <c r="K80" s="24"/>
    </row>
    <row r="81" spans="1:11" ht="12.75">
      <c r="A81" s="25" t="s">
        <v>24</v>
      </c>
      <c r="B81" s="26" t="s">
        <v>25</v>
      </c>
      <c r="C81" s="27" t="s">
        <v>26</v>
      </c>
      <c r="D81" s="28"/>
      <c r="E81" s="29"/>
      <c r="F81" s="25" t="s">
        <v>27</v>
      </c>
      <c r="G81" s="25" t="s">
        <v>28</v>
      </c>
      <c r="H81" s="25" t="s">
        <v>29</v>
      </c>
      <c r="I81" s="25" t="s">
        <v>30</v>
      </c>
      <c r="J81" s="25" t="s">
        <v>31</v>
      </c>
      <c r="K81" s="25" t="s">
        <v>32</v>
      </c>
    </row>
    <row r="82" spans="1:11" ht="12.75">
      <c r="A82" s="30">
        <f>I7</f>
        <v>9</v>
      </c>
      <c r="B82" s="30">
        <v>1</v>
      </c>
      <c r="C82" s="31" t="s">
        <v>240</v>
      </c>
      <c r="D82" s="32"/>
      <c r="E82" s="24"/>
      <c r="F82" s="42">
        <v>-0.212</v>
      </c>
      <c r="G82" s="42">
        <v>3.032</v>
      </c>
      <c r="H82" s="42">
        <v>0.051</v>
      </c>
      <c r="I82" s="42">
        <v>0.12</v>
      </c>
      <c r="J82" s="42">
        <v>0</v>
      </c>
      <c r="K82" s="42">
        <v>0.49</v>
      </c>
    </row>
    <row r="83" spans="1:11" ht="12.75">
      <c r="A83" s="30"/>
      <c r="B83" s="30">
        <f aca="true" t="shared" si="1" ref="B83:B90">B82+1</f>
        <v>2</v>
      </c>
      <c r="C83" s="31" t="s">
        <v>241</v>
      </c>
      <c r="D83" s="32"/>
      <c r="E83" s="24"/>
      <c r="F83" s="42">
        <v>0.058</v>
      </c>
      <c r="G83" s="42">
        <v>0.932</v>
      </c>
      <c r="H83" s="42">
        <v>0.002</v>
      </c>
      <c r="I83" s="42">
        <v>0.01</v>
      </c>
      <c r="J83" s="42">
        <v>0</v>
      </c>
      <c r="K83" s="42">
        <v>-0.13</v>
      </c>
    </row>
    <row r="84" spans="1:11" ht="12.75">
      <c r="A84" s="30"/>
      <c r="B84" s="30">
        <f t="shared" si="1"/>
        <v>3</v>
      </c>
      <c r="C84" s="31" t="s">
        <v>242</v>
      </c>
      <c r="D84" s="32"/>
      <c r="E84" s="24"/>
      <c r="F84" s="42">
        <v>0.378</v>
      </c>
      <c r="G84" s="42">
        <v>-3.629</v>
      </c>
      <c r="H84" s="42">
        <v>-0.206</v>
      </c>
      <c r="I84" s="42">
        <v>-0.47</v>
      </c>
      <c r="J84" s="42">
        <v>0</v>
      </c>
      <c r="K84" s="42">
        <v>-0.87</v>
      </c>
    </row>
    <row r="85" spans="1:11" ht="12.75">
      <c r="A85" s="30"/>
      <c r="B85" s="30">
        <f t="shared" si="1"/>
        <v>4</v>
      </c>
      <c r="C85" s="31" t="s">
        <v>243</v>
      </c>
      <c r="D85" s="32"/>
      <c r="E85" s="24"/>
      <c r="F85" s="42">
        <v>-0.532</v>
      </c>
      <c r="G85" s="42">
        <v>7.595</v>
      </c>
      <c r="H85" s="42">
        <v>0.26</v>
      </c>
      <c r="I85" s="42">
        <v>0.6</v>
      </c>
      <c r="J85" s="42">
        <v>0</v>
      </c>
      <c r="K85" s="42">
        <v>1.22</v>
      </c>
    </row>
    <row r="86" spans="1:11" ht="12.75">
      <c r="A86" s="30"/>
      <c r="B86" s="30">
        <f t="shared" si="1"/>
        <v>5</v>
      </c>
      <c r="C86" s="31">
        <v>14</v>
      </c>
      <c r="D86" s="32"/>
      <c r="E86" s="24"/>
      <c r="F86" s="42">
        <v>-0.22</v>
      </c>
      <c r="G86" s="42">
        <v>3.492</v>
      </c>
      <c r="H86" s="42">
        <v>0.069</v>
      </c>
      <c r="I86" s="42">
        <v>0.16</v>
      </c>
      <c r="J86" s="42">
        <v>0</v>
      </c>
      <c r="K86" s="42">
        <v>0.51</v>
      </c>
    </row>
    <row r="87" spans="1:11" ht="12.75">
      <c r="A87" s="30"/>
      <c r="B87" s="30">
        <f t="shared" si="1"/>
        <v>6</v>
      </c>
      <c r="C87" s="31" t="s">
        <v>244</v>
      </c>
      <c r="D87" s="32"/>
      <c r="E87" s="24"/>
      <c r="F87" s="42">
        <v>-0.355</v>
      </c>
      <c r="G87" s="42">
        <v>4.541</v>
      </c>
      <c r="H87" s="42">
        <v>0.093</v>
      </c>
      <c r="I87" s="42">
        <v>0.21</v>
      </c>
      <c r="J87" s="42">
        <v>0</v>
      </c>
      <c r="K87" s="42">
        <v>0.82</v>
      </c>
    </row>
    <row r="88" spans="1:11" ht="12.75">
      <c r="A88" s="30"/>
      <c r="B88" s="30">
        <f t="shared" si="1"/>
        <v>7</v>
      </c>
      <c r="C88" s="31" t="s">
        <v>245</v>
      </c>
      <c r="D88" s="32"/>
      <c r="E88" s="24"/>
      <c r="F88" s="42">
        <v>-0.084</v>
      </c>
      <c r="G88" s="42">
        <v>2.441</v>
      </c>
      <c r="H88" s="42">
        <v>0.044</v>
      </c>
      <c r="I88" s="42">
        <v>0.1</v>
      </c>
      <c r="J88" s="42">
        <v>0</v>
      </c>
      <c r="K88" s="42">
        <v>0.19</v>
      </c>
    </row>
    <row r="89" spans="1:11" ht="12.75">
      <c r="A89" s="30"/>
      <c r="B89" s="30">
        <f t="shared" si="1"/>
        <v>8</v>
      </c>
      <c r="C89" s="31" t="s">
        <v>246</v>
      </c>
      <c r="D89" s="32"/>
      <c r="E89" s="24"/>
      <c r="F89" s="42">
        <v>0.235</v>
      </c>
      <c r="G89" s="42">
        <v>-2.12</v>
      </c>
      <c r="H89" s="42">
        <v>-0.165</v>
      </c>
      <c r="I89" s="42">
        <v>-0.38</v>
      </c>
      <c r="J89" s="42">
        <v>0</v>
      </c>
      <c r="K89" s="42">
        <v>-0.54</v>
      </c>
    </row>
    <row r="90" spans="1:11" ht="12.75">
      <c r="A90" s="30"/>
      <c r="B90" s="30">
        <f t="shared" si="1"/>
        <v>9</v>
      </c>
      <c r="C90" s="31" t="s">
        <v>247</v>
      </c>
      <c r="D90" s="32"/>
      <c r="E90" s="24"/>
      <c r="F90" s="42">
        <v>-0.675</v>
      </c>
      <c r="G90" s="42">
        <v>9.105</v>
      </c>
      <c r="H90" s="42">
        <v>0.302</v>
      </c>
      <c r="I90" s="42">
        <v>0.69</v>
      </c>
      <c r="J90" s="42">
        <v>0</v>
      </c>
      <c r="K90" s="42">
        <v>1.55</v>
      </c>
    </row>
    <row r="91" spans="1:11" ht="12.75">
      <c r="A91" s="30"/>
      <c r="B91" s="30"/>
      <c r="C91" s="31"/>
      <c r="D91" s="32"/>
      <c r="E91" s="24"/>
      <c r="F91" s="42"/>
      <c r="G91" s="42"/>
      <c r="H91" s="42"/>
      <c r="I91" s="42"/>
      <c r="J91" s="42"/>
      <c r="K91" s="42"/>
    </row>
    <row r="92" spans="1:11" ht="12.75">
      <c r="A92" s="30"/>
      <c r="B92" s="30"/>
      <c r="C92" s="31"/>
      <c r="D92" s="32"/>
      <c r="E92" s="24"/>
      <c r="F92" s="42"/>
      <c r="G92" s="42"/>
      <c r="H92" s="42"/>
      <c r="I92" s="42"/>
      <c r="J92" s="42"/>
      <c r="K92" s="43"/>
    </row>
    <row r="93" spans="1:11" ht="12.75">
      <c r="A93" s="34"/>
      <c r="B93" s="35"/>
      <c r="C93" s="36"/>
      <c r="D93" s="37"/>
      <c r="E93" s="38"/>
      <c r="F93" s="34"/>
      <c r="G93" s="34"/>
      <c r="H93" s="34"/>
      <c r="I93" s="34"/>
      <c r="J93" s="34"/>
      <c r="K93" s="34"/>
    </row>
    <row r="94" spans="1:4" ht="12.75">
      <c r="A94" s="21" t="s">
        <v>33</v>
      </c>
      <c r="B94" s="24"/>
      <c r="C94" s="24"/>
      <c r="D94" s="24"/>
    </row>
    <row r="95" spans="1:11" ht="12.75">
      <c r="A95" s="24"/>
      <c r="F95" s="24"/>
      <c r="G95" s="24"/>
      <c r="H95" s="24"/>
      <c r="I95" s="24"/>
      <c r="J95" s="24"/>
      <c r="K95" s="24"/>
    </row>
    <row r="96" spans="1:11" ht="12.75">
      <c r="A96" s="25" t="s">
        <v>24</v>
      </c>
      <c r="B96" s="26" t="s">
        <v>25</v>
      </c>
      <c r="C96" s="27" t="s">
        <v>26</v>
      </c>
      <c r="D96" s="28"/>
      <c r="E96" s="29"/>
      <c r="F96" s="25" t="s">
        <v>27</v>
      </c>
      <c r="G96" s="25" t="s">
        <v>28</v>
      </c>
      <c r="H96" s="25" t="s">
        <v>29</v>
      </c>
      <c r="I96" s="25" t="s">
        <v>30</v>
      </c>
      <c r="J96" s="25" t="s">
        <v>31</v>
      </c>
      <c r="K96" s="25" t="s">
        <v>32</v>
      </c>
    </row>
    <row r="97" spans="1:11" ht="12.75">
      <c r="A97" s="30">
        <f>E13</f>
        <v>8</v>
      </c>
      <c r="B97" s="30">
        <v>1</v>
      </c>
      <c r="C97" s="31" t="s">
        <v>240</v>
      </c>
      <c r="D97" s="32"/>
      <c r="E97" s="24"/>
      <c r="F97" s="40">
        <v>-0.184</v>
      </c>
      <c r="G97" s="40">
        <v>0.105</v>
      </c>
      <c r="H97" s="40">
        <v>0.017</v>
      </c>
      <c r="I97" s="40">
        <v>0.04</v>
      </c>
      <c r="J97" s="40">
        <v>0</v>
      </c>
      <c r="K97" s="40">
        <v>0.42</v>
      </c>
    </row>
    <row r="98" spans="1:11" ht="12.75">
      <c r="A98" s="30"/>
      <c r="B98" s="30">
        <f aca="true" t="shared" si="2" ref="B98:B105">B97+1</f>
        <v>2</v>
      </c>
      <c r="C98" s="31" t="s">
        <v>241</v>
      </c>
      <c r="D98" s="32"/>
      <c r="E98" s="24"/>
      <c r="F98" s="40">
        <v>0.097</v>
      </c>
      <c r="G98" s="40">
        <v>2.203</v>
      </c>
      <c r="H98" s="40">
        <v>-0.033</v>
      </c>
      <c r="I98" s="40">
        <v>-0.08</v>
      </c>
      <c r="J98" s="40">
        <v>0</v>
      </c>
      <c r="K98" s="40">
        <v>-0.22</v>
      </c>
    </row>
    <row r="99" spans="1:11" ht="12.75">
      <c r="A99" s="30"/>
      <c r="B99" s="30">
        <f t="shared" si="2"/>
        <v>3</v>
      </c>
      <c r="C99" s="31" t="s">
        <v>242</v>
      </c>
      <c r="D99" s="32"/>
      <c r="E99" s="24"/>
      <c r="F99" s="40">
        <v>-0.223</v>
      </c>
      <c r="G99" s="40">
        <v>6.973</v>
      </c>
      <c r="H99" s="40">
        <v>-0.943</v>
      </c>
      <c r="I99" s="40">
        <v>-2.17</v>
      </c>
      <c r="J99" s="40">
        <v>0</v>
      </c>
      <c r="K99" s="40">
        <v>0.51</v>
      </c>
    </row>
    <row r="100" spans="1:11" ht="12.75">
      <c r="A100" s="30"/>
      <c r="B100" s="30">
        <f t="shared" si="2"/>
        <v>4</v>
      </c>
      <c r="C100" s="31" t="s">
        <v>243</v>
      </c>
      <c r="D100" s="32"/>
      <c r="E100" s="24"/>
      <c r="F100" s="40">
        <v>0.136</v>
      </c>
      <c r="G100" s="40">
        <v>-4.668</v>
      </c>
      <c r="H100" s="40">
        <v>0.927</v>
      </c>
      <c r="I100" s="40">
        <v>2.13</v>
      </c>
      <c r="J100" s="40">
        <v>0</v>
      </c>
      <c r="K100" s="40">
        <v>-0.31</v>
      </c>
    </row>
    <row r="101" spans="1:11" ht="12.75">
      <c r="A101" s="30"/>
      <c r="B101" s="30">
        <f t="shared" si="2"/>
        <v>5</v>
      </c>
      <c r="C101" s="31">
        <v>14</v>
      </c>
      <c r="D101" s="32"/>
      <c r="E101" s="24"/>
      <c r="F101" s="40">
        <v>-0.258</v>
      </c>
      <c r="G101" s="40">
        <v>0.592</v>
      </c>
      <c r="H101" s="40">
        <v>-0.097</v>
      </c>
      <c r="I101" s="40">
        <v>-0.22</v>
      </c>
      <c r="J101" s="40">
        <v>0</v>
      </c>
      <c r="K101" s="40">
        <v>0.59</v>
      </c>
    </row>
    <row r="102" spans="1:11" ht="12.75">
      <c r="A102" s="30"/>
      <c r="B102" s="30">
        <f t="shared" si="2"/>
        <v>6</v>
      </c>
      <c r="C102" s="31" t="s">
        <v>244</v>
      </c>
      <c r="D102" s="32"/>
      <c r="E102" s="24"/>
      <c r="F102" s="40">
        <v>-0.398</v>
      </c>
      <c r="G102" s="40">
        <v>-0.455</v>
      </c>
      <c r="H102" s="40">
        <v>-0.072</v>
      </c>
      <c r="I102" s="40">
        <v>-0.17</v>
      </c>
      <c r="J102" s="40">
        <v>0</v>
      </c>
      <c r="K102" s="40">
        <v>0.92</v>
      </c>
    </row>
    <row r="103" spans="1:11" ht="12.75">
      <c r="A103" s="30"/>
      <c r="B103" s="30">
        <f t="shared" si="2"/>
        <v>7</v>
      </c>
      <c r="C103" s="31" t="s">
        <v>245</v>
      </c>
      <c r="D103" s="32"/>
      <c r="E103" s="24"/>
      <c r="F103" s="40">
        <v>-0.117</v>
      </c>
      <c r="G103" s="40">
        <v>1.642</v>
      </c>
      <c r="H103" s="40">
        <v>-0.122</v>
      </c>
      <c r="I103" s="40">
        <v>-0.28</v>
      </c>
      <c r="J103" s="40">
        <v>0</v>
      </c>
      <c r="K103" s="40">
        <v>0.27</v>
      </c>
    </row>
    <row r="104" spans="1:11" ht="12.75">
      <c r="A104" s="30"/>
      <c r="B104" s="30">
        <f t="shared" si="2"/>
        <v>8</v>
      </c>
      <c r="C104" s="31" t="s">
        <v>246</v>
      </c>
      <c r="D104" s="32"/>
      <c r="E104" s="24"/>
      <c r="F104" s="40">
        <v>-0.438</v>
      </c>
      <c r="G104" s="40">
        <v>6.413</v>
      </c>
      <c r="H104" s="40">
        <v>-1.032</v>
      </c>
      <c r="I104" s="40">
        <v>-2.37</v>
      </c>
      <c r="J104" s="40">
        <v>0</v>
      </c>
      <c r="K104" s="40">
        <v>1.01</v>
      </c>
    </row>
    <row r="105" spans="1:11" ht="12.75">
      <c r="A105" s="30"/>
      <c r="B105" s="30">
        <f t="shared" si="2"/>
        <v>9</v>
      </c>
      <c r="C105" s="31" t="s">
        <v>247</v>
      </c>
      <c r="D105" s="32"/>
      <c r="E105" s="24"/>
      <c r="F105" s="40">
        <v>-0.078</v>
      </c>
      <c r="G105" s="40">
        <v>-5.229</v>
      </c>
      <c r="H105" s="40">
        <v>0.838</v>
      </c>
      <c r="I105" s="40">
        <v>1.93</v>
      </c>
      <c r="J105" s="40">
        <v>0</v>
      </c>
      <c r="K105" s="40">
        <v>0.18</v>
      </c>
    </row>
    <row r="106" spans="1:11" ht="12.75">
      <c r="A106" s="30"/>
      <c r="B106" s="30"/>
      <c r="C106" s="31"/>
      <c r="D106" s="32"/>
      <c r="E106" s="24"/>
      <c r="F106" s="40"/>
      <c r="G106" s="40"/>
      <c r="H106" s="40"/>
      <c r="I106" s="40"/>
      <c r="J106" s="40"/>
      <c r="K106" s="40"/>
    </row>
    <row r="107" spans="1:11" ht="12.75">
      <c r="A107" s="30"/>
      <c r="B107" s="30"/>
      <c r="C107" s="31"/>
      <c r="D107" s="32"/>
      <c r="E107" s="24"/>
      <c r="F107" s="40"/>
      <c r="G107" s="40"/>
      <c r="H107" s="40"/>
      <c r="I107" s="40"/>
      <c r="J107" s="40"/>
      <c r="K107" s="41"/>
    </row>
    <row r="108" spans="1:11" ht="12.75">
      <c r="A108" s="34"/>
      <c r="B108" s="35"/>
      <c r="C108" s="36"/>
      <c r="D108" s="37"/>
      <c r="E108" s="38"/>
      <c r="F108" s="34"/>
      <c r="G108" s="34"/>
      <c r="H108" s="34"/>
      <c r="I108" s="34"/>
      <c r="J108" s="34"/>
      <c r="K108" s="34"/>
    </row>
    <row r="110" spans="1:4" ht="12.75">
      <c r="A110" s="21" t="s">
        <v>35</v>
      </c>
      <c r="B110" s="24"/>
      <c r="C110" s="24"/>
      <c r="D110" s="24"/>
    </row>
    <row r="111" spans="1:11" ht="12.75">
      <c r="A111" s="24"/>
      <c r="F111" s="24"/>
      <c r="G111" s="24"/>
      <c r="H111" s="24"/>
      <c r="I111" s="24"/>
      <c r="J111" s="24"/>
      <c r="K111" s="24"/>
    </row>
    <row r="112" spans="1:11" ht="12.75">
      <c r="A112" s="25" t="s">
        <v>24</v>
      </c>
      <c r="B112" s="26" t="s">
        <v>25</v>
      </c>
      <c r="C112" s="27" t="s">
        <v>26</v>
      </c>
      <c r="D112" s="28"/>
      <c r="E112" s="29"/>
      <c r="F112" s="25" t="s">
        <v>27</v>
      </c>
      <c r="G112" s="25" t="s">
        <v>28</v>
      </c>
      <c r="H112" s="25" t="s">
        <v>29</v>
      </c>
      <c r="I112" s="25" t="s">
        <v>30</v>
      </c>
      <c r="J112" s="25" t="s">
        <v>31</v>
      </c>
      <c r="K112" s="25" t="s">
        <v>32</v>
      </c>
    </row>
    <row r="113" spans="1:11" ht="12.75">
      <c r="A113" s="30">
        <f>I13</f>
        <v>10</v>
      </c>
      <c r="B113" s="30">
        <v>1</v>
      </c>
      <c r="C113" s="31" t="s">
        <v>240</v>
      </c>
      <c r="D113" s="32"/>
      <c r="E113" s="24"/>
      <c r="F113" s="44">
        <v>-0.213</v>
      </c>
      <c r="G113" s="44">
        <v>3.032</v>
      </c>
      <c r="H113" s="44">
        <v>-0.051</v>
      </c>
      <c r="I113" s="44">
        <v>-0.12</v>
      </c>
      <c r="J113" s="44">
        <v>0</v>
      </c>
      <c r="K113" s="44">
        <v>0.49</v>
      </c>
    </row>
    <row r="114" spans="1:11" ht="12.75">
      <c r="A114" s="30"/>
      <c r="B114" s="30">
        <f aca="true" t="shared" si="3" ref="B114:B121">B113+1</f>
        <v>2</v>
      </c>
      <c r="C114" s="31" t="s">
        <v>241</v>
      </c>
      <c r="D114" s="32"/>
      <c r="E114" s="24"/>
      <c r="F114" s="44">
        <v>0.058</v>
      </c>
      <c r="G114" s="44">
        <v>0.931</v>
      </c>
      <c r="H114" s="44">
        <v>-0.002</v>
      </c>
      <c r="I114" s="44">
        <v>0</v>
      </c>
      <c r="J114" s="44">
        <v>0</v>
      </c>
      <c r="K114" s="44">
        <v>-0.13</v>
      </c>
    </row>
    <row r="115" spans="1:11" ht="12.75">
      <c r="A115" s="30"/>
      <c r="B115" s="30">
        <f t="shared" si="3"/>
        <v>3</v>
      </c>
      <c r="C115" s="31" t="s">
        <v>242</v>
      </c>
      <c r="D115" s="32"/>
      <c r="E115" s="24"/>
      <c r="F115" s="44">
        <v>-0.528</v>
      </c>
      <c r="G115" s="44">
        <v>7.546</v>
      </c>
      <c r="H115" s="44">
        <v>-0.259</v>
      </c>
      <c r="I115" s="44">
        <v>-0.6</v>
      </c>
      <c r="J115" s="44">
        <v>0</v>
      </c>
      <c r="K115" s="44">
        <v>1.21</v>
      </c>
    </row>
    <row r="116" spans="1:11" ht="12.75">
      <c r="A116" s="30"/>
      <c r="B116" s="30">
        <f t="shared" si="3"/>
        <v>4</v>
      </c>
      <c r="C116" s="31" t="s">
        <v>243</v>
      </c>
      <c r="D116" s="32"/>
      <c r="E116" s="24"/>
      <c r="F116" s="44">
        <v>0.373</v>
      </c>
      <c r="G116" s="44">
        <v>-3.581</v>
      </c>
      <c r="H116" s="44">
        <v>0.206</v>
      </c>
      <c r="I116" s="44">
        <v>0.47</v>
      </c>
      <c r="J116" s="44">
        <v>0</v>
      </c>
      <c r="K116" s="44">
        <v>-0.86</v>
      </c>
    </row>
    <row r="117" spans="1:11" ht="12.75">
      <c r="A117" s="30"/>
      <c r="B117" s="30">
        <f t="shared" si="3"/>
        <v>5</v>
      </c>
      <c r="C117" s="31">
        <v>14</v>
      </c>
      <c r="D117" s="32"/>
      <c r="E117" s="24"/>
      <c r="F117" s="44">
        <v>-0.35</v>
      </c>
      <c r="G117" s="44">
        <v>4.888</v>
      </c>
      <c r="H117" s="44">
        <v>-0.093</v>
      </c>
      <c r="I117" s="44">
        <v>-0.21</v>
      </c>
      <c r="J117" s="44">
        <v>0</v>
      </c>
      <c r="K117" s="44">
        <v>0.81</v>
      </c>
    </row>
    <row r="118" spans="1:11" ht="12.75">
      <c r="A118" s="30"/>
      <c r="B118" s="30">
        <f t="shared" si="3"/>
        <v>6</v>
      </c>
      <c r="C118" s="31" t="s">
        <v>244</v>
      </c>
      <c r="D118" s="32"/>
      <c r="E118" s="24"/>
      <c r="F118" s="44">
        <v>-0.485</v>
      </c>
      <c r="G118" s="44">
        <v>5.937</v>
      </c>
      <c r="H118" s="44">
        <v>-0.118</v>
      </c>
      <c r="I118" s="44">
        <v>-0.27</v>
      </c>
      <c r="J118" s="44">
        <v>0</v>
      </c>
      <c r="K118" s="44">
        <v>1.12</v>
      </c>
    </row>
    <row r="119" spans="1:11" ht="12.75">
      <c r="A119" s="30"/>
      <c r="B119" s="30">
        <f t="shared" si="3"/>
        <v>7</v>
      </c>
      <c r="C119" s="31" t="s">
        <v>245</v>
      </c>
      <c r="D119" s="32"/>
      <c r="E119" s="24"/>
      <c r="F119" s="44">
        <v>-0.215</v>
      </c>
      <c r="G119" s="44">
        <v>3.837</v>
      </c>
      <c r="H119" s="44">
        <v>-0.069</v>
      </c>
      <c r="I119" s="44">
        <v>-0.16</v>
      </c>
      <c r="J119" s="44">
        <v>0</v>
      </c>
      <c r="K119" s="44">
        <v>0.49</v>
      </c>
    </row>
    <row r="120" spans="1:11" ht="12.75">
      <c r="A120" s="30"/>
      <c r="B120" s="30">
        <f t="shared" si="3"/>
        <v>8</v>
      </c>
      <c r="C120" s="31" t="s">
        <v>246</v>
      </c>
      <c r="D120" s="32"/>
      <c r="E120" s="24"/>
      <c r="F120" s="44">
        <v>-0.801</v>
      </c>
      <c r="G120" s="44">
        <v>10.452</v>
      </c>
      <c r="H120" s="44">
        <v>-0.326</v>
      </c>
      <c r="I120" s="44">
        <v>-0.75</v>
      </c>
      <c r="J120" s="44">
        <v>0</v>
      </c>
      <c r="K120" s="44">
        <v>1.84</v>
      </c>
    </row>
    <row r="121" spans="1:11" ht="12.75">
      <c r="A121" s="30"/>
      <c r="B121" s="30">
        <f t="shared" si="3"/>
        <v>9</v>
      </c>
      <c r="C121" s="31" t="s">
        <v>247</v>
      </c>
      <c r="D121" s="32"/>
      <c r="E121" s="24"/>
      <c r="F121" s="44">
        <v>0.1</v>
      </c>
      <c r="G121" s="44">
        <v>-0.675</v>
      </c>
      <c r="H121" s="44">
        <v>0.139</v>
      </c>
      <c r="I121" s="44">
        <v>0.32</v>
      </c>
      <c r="J121" s="44">
        <v>0</v>
      </c>
      <c r="K121" s="44">
        <v>-0.23</v>
      </c>
    </row>
    <row r="122" spans="1:11" ht="12.75">
      <c r="A122" s="34"/>
      <c r="B122" s="35"/>
      <c r="C122" s="36"/>
      <c r="D122" s="37"/>
      <c r="E122" s="38"/>
      <c r="F122" s="34"/>
      <c r="G122" s="34"/>
      <c r="H122" s="34"/>
      <c r="I122" s="34"/>
      <c r="J122" s="34"/>
      <c r="K122" s="34"/>
    </row>
    <row r="124" spans="1:4" ht="12.75">
      <c r="A124" s="45" t="s">
        <v>216</v>
      </c>
      <c r="B124" s="13"/>
      <c r="C124" s="13"/>
      <c r="D124" s="13"/>
    </row>
    <row r="125" spans="5:9" ht="12.75">
      <c r="E125" s="13"/>
      <c r="F125" s="13"/>
      <c r="G125" s="13"/>
      <c r="H125" s="13"/>
      <c r="I125" s="13"/>
    </row>
    <row r="126" spans="1:9" ht="12.75">
      <c r="A126" s="13"/>
      <c r="B126" s="46" t="s">
        <v>36</v>
      </c>
      <c r="C126" s="46" t="s">
        <v>37</v>
      </c>
      <c r="D126" s="46" t="s">
        <v>27</v>
      </c>
      <c r="E126" s="46" t="s">
        <v>28</v>
      </c>
      <c r="F126" s="46" t="s">
        <v>29</v>
      </c>
      <c r="G126" s="46" t="s">
        <v>30</v>
      </c>
      <c r="H126" s="46" t="s">
        <v>31</v>
      </c>
      <c r="I126" s="46" t="s">
        <v>32</v>
      </c>
    </row>
    <row r="127" spans="1:9" ht="12.75">
      <c r="A127" s="13"/>
      <c r="B127" s="47">
        <f>A67</f>
        <v>7</v>
      </c>
      <c r="C127" s="47">
        <v>1</v>
      </c>
      <c r="D127" s="30">
        <f aca="true" t="shared" si="4" ref="D127:I133">F67</f>
        <v>-0.184</v>
      </c>
      <c r="E127" s="47">
        <f t="shared" si="4"/>
        <v>0.105</v>
      </c>
      <c r="F127" s="47">
        <f t="shared" si="4"/>
        <v>-0.017</v>
      </c>
      <c r="G127" s="47">
        <f t="shared" si="4"/>
        <v>-0.04</v>
      </c>
      <c r="H127" s="47">
        <f t="shared" si="4"/>
        <v>0</v>
      </c>
      <c r="I127" s="47">
        <f t="shared" si="4"/>
        <v>0.42</v>
      </c>
    </row>
    <row r="128" spans="1:9" ht="12.75">
      <c r="A128" s="13"/>
      <c r="B128" s="47"/>
      <c r="C128" s="47">
        <v>2</v>
      </c>
      <c r="D128" s="30">
        <f t="shared" si="4"/>
        <v>0.097</v>
      </c>
      <c r="E128" s="47">
        <f t="shared" si="4"/>
        <v>2.203</v>
      </c>
      <c r="F128" s="47">
        <f t="shared" si="4"/>
        <v>0.033</v>
      </c>
      <c r="G128" s="47">
        <f t="shared" si="4"/>
        <v>0.07</v>
      </c>
      <c r="H128" s="47">
        <f t="shared" si="4"/>
        <v>0</v>
      </c>
      <c r="I128" s="47">
        <f t="shared" si="4"/>
        <v>-0.22</v>
      </c>
    </row>
    <row r="129" spans="1:9" ht="12.75">
      <c r="A129" s="13"/>
      <c r="B129" s="47"/>
      <c r="C129" s="47">
        <v>3</v>
      </c>
      <c r="D129" s="30">
        <f t="shared" si="4"/>
        <v>0.141</v>
      </c>
      <c r="E129" s="47">
        <f t="shared" si="4"/>
        <v>-4.62</v>
      </c>
      <c r="F129" s="47">
        <f t="shared" si="4"/>
        <v>-0.926</v>
      </c>
      <c r="G129" s="47">
        <f t="shared" si="4"/>
        <v>-2.13</v>
      </c>
      <c r="H129" s="47">
        <f t="shared" si="4"/>
        <v>0</v>
      </c>
      <c r="I129" s="47">
        <f t="shared" si="4"/>
        <v>-0.32</v>
      </c>
    </row>
    <row r="130" spans="1:9" ht="12.75">
      <c r="A130" s="13"/>
      <c r="B130" s="47"/>
      <c r="C130" s="47">
        <v>4</v>
      </c>
      <c r="D130" s="30">
        <f t="shared" si="4"/>
        <v>-0.228</v>
      </c>
      <c r="E130" s="47">
        <f t="shared" si="4"/>
        <v>6.925</v>
      </c>
      <c r="F130" s="47">
        <f t="shared" si="4"/>
        <v>0.941</v>
      </c>
      <c r="G130" s="47">
        <f t="shared" si="4"/>
        <v>2.16</v>
      </c>
      <c r="H130" s="47">
        <f t="shared" si="4"/>
        <v>0</v>
      </c>
      <c r="I130" s="47">
        <f t="shared" si="4"/>
        <v>0.52</v>
      </c>
    </row>
    <row r="131" spans="1:9" ht="12.75">
      <c r="A131" s="13"/>
      <c r="B131" s="47"/>
      <c r="C131" s="47">
        <v>5</v>
      </c>
      <c r="D131" s="30">
        <f t="shared" si="4"/>
        <v>-0.196</v>
      </c>
      <c r="E131" s="47">
        <f t="shared" si="4"/>
        <v>-0.868</v>
      </c>
      <c r="F131" s="47">
        <f t="shared" si="4"/>
        <v>-0.141</v>
      </c>
      <c r="G131" s="47">
        <f t="shared" si="4"/>
        <v>-0.32</v>
      </c>
      <c r="H131" s="47">
        <f t="shared" si="4"/>
        <v>0</v>
      </c>
      <c r="I131" s="47">
        <f t="shared" si="4"/>
        <v>0.45</v>
      </c>
    </row>
    <row r="132" spans="1:9" ht="12.75">
      <c r="A132" s="13"/>
      <c r="B132" s="47"/>
      <c r="C132" s="47">
        <v>6</v>
      </c>
      <c r="D132" s="30">
        <f t="shared" si="4"/>
        <v>-0.336</v>
      </c>
      <c r="E132" s="47">
        <f t="shared" si="4"/>
        <v>-1.916</v>
      </c>
      <c r="F132" s="47">
        <f t="shared" si="4"/>
        <v>-0.166</v>
      </c>
      <c r="G132" s="47">
        <f t="shared" si="4"/>
        <v>-0.38</v>
      </c>
      <c r="H132" s="47">
        <f t="shared" si="4"/>
        <v>0</v>
      </c>
      <c r="I132" s="47">
        <f t="shared" si="4"/>
        <v>0.77</v>
      </c>
    </row>
    <row r="133" spans="1:9" ht="12.75">
      <c r="A133" s="13"/>
      <c r="B133" s="47"/>
      <c r="C133" s="47">
        <v>7</v>
      </c>
      <c r="D133" s="30">
        <f t="shared" si="4"/>
        <v>-0.056</v>
      </c>
      <c r="E133" s="47">
        <f t="shared" si="4"/>
        <v>0.182</v>
      </c>
      <c r="F133" s="47">
        <f t="shared" si="4"/>
        <v>-0.116</v>
      </c>
      <c r="G133" s="47">
        <f t="shared" si="4"/>
        <v>-0.27</v>
      </c>
      <c r="H133" s="47">
        <f t="shared" si="4"/>
        <v>0</v>
      </c>
      <c r="I133" s="47">
        <f t="shared" si="4"/>
        <v>0.13</v>
      </c>
    </row>
    <row r="134" spans="1:9" ht="12.75">
      <c r="A134" s="13"/>
      <c r="B134" s="47"/>
      <c r="C134" s="47">
        <v>8</v>
      </c>
      <c r="D134" s="30">
        <f aca="true" t="shared" si="5" ref="D134:I135">F74</f>
        <v>-0.012</v>
      </c>
      <c r="E134" s="47">
        <f t="shared" si="5"/>
        <v>-6.64</v>
      </c>
      <c r="F134" s="47">
        <f t="shared" si="5"/>
        <v>-1.074</v>
      </c>
      <c r="G134" s="47">
        <f t="shared" si="5"/>
        <v>-2.47</v>
      </c>
      <c r="H134" s="47">
        <f t="shared" si="5"/>
        <v>0</v>
      </c>
      <c r="I134" s="47">
        <f t="shared" si="5"/>
        <v>0.03</v>
      </c>
    </row>
    <row r="135" spans="1:9" ht="12.75">
      <c r="A135" s="13"/>
      <c r="B135" s="47"/>
      <c r="C135" s="47">
        <v>9</v>
      </c>
      <c r="D135" s="30">
        <f t="shared" si="5"/>
        <v>-0.38</v>
      </c>
      <c r="E135" s="47">
        <f t="shared" si="5"/>
        <v>4.904</v>
      </c>
      <c r="F135" s="47">
        <f t="shared" si="5"/>
        <v>0.793</v>
      </c>
      <c r="G135" s="47">
        <f t="shared" si="5"/>
        <v>1.82</v>
      </c>
      <c r="H135" s="47">
        <f t="shared" si="5"/>
        <v>0</v>
      </c>
      <c r="I135" s="47">
        <f t="shared" si="5"/>
        <v>0.87</v>
      </c>
    </row>
    <row r="136" spans="1:9" ht="12.75">
      <c r="A136" s="13"/>
      <c r="B136" s="47"/>
      <c r="C136" s="47"/>
      <c r="D136" s="47"/>
      <c r="E136" s="47"/>
      <c r="F136" s="47"/>
      <c r="G136" s="47"/>
      <c r="H136" s="47"/>
      <c r="I136" s="47"/>
    </row>
    <row r="137" spans="1:9" ht="12.75">
      <c r="A137" s="13"/>
      <c r="B137" s="47">
        <f>A97</f>
        <v>8</v>
      </c>
      <c r="C137" s="47">
        <v>1</v>
      </c>
      <c r="D137" s="47">
        <f aca="true" t="shared" si="6" ref="D137:I143">F97</f>
        <v>-0.184</v>
      </c>
      <c r="E137" s="47">
        <f t="shared" si="6"/>
        <v>0.105</v>
      </c>
      <c r="F137" s="47">
        <f t="shared" si="6"/>
        <v>0.017</v>
      </c>
      <c r="G137" s="47">
        <f t="shared" si="6"/>
        <v>0.04</v>
      </c>
      <c r="H137" s="47">
        <f t="shared" si="6"/>
        <v>0</v>
      </c>
      <c r="I137" s="47">
        <f t="shared" si="6"/>
        <v>0.42</v>
      </c>
    </row>
    <row r="138" spans="1:9" ht="12.75">
      <c r="A138" s="13"/>
      <c r="B138" s="47"/>
      <c r="C138" s="47">
        <v>2</v>
      </c>
      <c r="D138" s="47">
        <f t="shared" si="6"/>
        <v>0.097</v>
      </c>
      <c r="E138" s="47">
        <f t="shared" si="6"/>
        <v>2.203</v>
      </c>
      <c r="F138" s="47">
        <f t="shared" si="6"/>
        <v>-0.033</v>
      </c>
      <c r="G138" s="47">
        <f t="shared" si="6"/>
        <v>-0.08</v>
      </c>
      <c r="H138" s="47">
        <f t="shared" si="6"/>
        <v>0</v>
      </c>
      <c r="I138" s="47">
        <f t="shared" si="6"/>
        <v>-0.22</v>
      </c>
    </row>
    <row r="139" spans="1:9" ht="12.75">
      <c r="A139" s="13"/>
      <c r="B139" s="47"/>
      <c r="C139" s="47">
        <v>3</v>
      </c>
      <c r="D139" s="47">
        <f t="shared" si="6"/>
        <v>-0.223</v>
      </c>
      <c r="E139" s="47">
        <f t="shared" si="6"/>
        <v>6.973</v>
      </c>
      <c r="F139" s="47">
        <f t="shared" si="6"/>
        <v>-0.943</v>
      </c>
      <c r="G139" s="47">
        <f t="shared" si="6"/>
        <v>-2.17</v>
      </c>
      <c r="H139" s="47">
        <f t="shared" si="6"/>
        <v>0</v>
      </c>
      <c r="I139" s="47">
        <f t="shared" si="6"/>
        <v>0.51</v>
      </c>
    </row>
    <row r="140" spans="1:9" ht="12.75">
      <c r="A140" s="13"/>
      <c r="B140" s="47"/>
      <c r="C140" s="47">
        <v>4</v>
      </c>
      <c r="D140" s="47">
        <f t="shared" si="6"/>
        <v>0.136</v>
      </c>
      <c r="E140" s="47">
        <f t="shared" si="6"/>
        <v>-4.668</v>
      </c>
      <c r="F140" s="47">
        <f t="shared" si="6"/>
        <v>0.927</v>
      </c>
      <c r="G140" s="47">
        <f t="shared" si="6"/>
        <v>2.13</v>
      </c>
      <c r="H140" s="47">
        <f t="shared" si="6"/>
        <v>0</v>
      </c>
      <c r="I140" s="47">
        <f t="shared" si="6"/>
        <v>-0.31</v>
      </c>
    </row>
    <row r="141" spans="1:9" ht="12.75">
      <c r="A141" s="13"/>
      <c r="B141" s="47"/>
      <c r="C141" s="47">
        <v>5</v>
      </c>
      <c r="D141" s="47">
        <f t="shared" si="6"/>
        <v>-0.258</v>
      </c>
      <c r="E141" s="47">
        <f t="shared" si="6"/>
        <v>0.592</v>
      </c>
      <c r="F141" s="47">
        <f t="shared" si="6"/>
        <v>-0.097</v>
      </c>
      <c r="G141" s="47">
        <f t="shared" si="6"/>
        <v>-0.22</v>
      </c>
      <c r="H141" s="47">
        <f t="shared" si="6"/>
        <v>0</v>
      </c>
      <c r="I141" s="47">
        <f t="shared" si="6"/>
        <v>0.59</v>
      </c>
    </row>
    <row r="142" spans="1:9" ht="12.75">
      <c r="A142" s="13"/>
      <c r="B142" s="47"/>
      <c r="C142" s="47">
        <v>6</v>
      </c>
      <c r="D142" s="47">
        <f t="shared" si="6"/>
        <v>-0.398</v>
      </c>
      <c r="E142" s="47">
        <f t="shared" si="6"/>
        <v>-0.455</v>
      </c>
      <c r="F142" s="47">
        <f t="shared" si="6"/>
        <v>-0.072</v>
      </c>
      <c r="G142" s="47">
        <f t="shared" si="6"/>
        <v>-0.17</v>
      </c>
      <c r="H142" s="47">
        <f t="shared" si="6"/>
        <v>0</v>
      </c>
      <c r="I142" s="47">
        <f t="shared" si="6"/>
        <v>0.92</v>
      </c>
    </row>
    <row r="143" spans="1:9" ht="12.75">
      <c r="A143" s="13"/>
      <c r="B143" s="47"/>
      <c r="C143" s="47">
        <v>7</v>
      </c>
      <c r="D143" s="47">
        <f t="shared" si="6"/>
        <v>-0.117</v>
      </c>
      <c r="E143" s="47">
        <f t="shared" si="6"/>
        <v>1.642</v>
      </c>
      <c r="F143" s="47">
        <f t="shared" si="6"/>
        <v>-0.122</v>
      </c>
      <c r="G143" s="47">
        <f t="shared" si="6"/>
        <v>-0.28</v>
      </c>
      <c r="H143" s="47">
        <f t="shared" si="6"/>
        <v>0</v>
      </c>
      <c r="I143" s="47">
        <f t="shared" si="6"/>
        <v>0.27</v>
      </c>
    </row>
    <row r="144" spans="1:9" ht="12.75">
      <c r="A144" s="13"/>
      <c r="B144" s="47"/>
      <c r="C144" s="47">
        <v>8</v>
      </c>
      <c r="D144" s="47">
        <f aca="true" t="shared" si="7" ref="D144:I145">F104</f>
        <v>-0.438</v>
      </c>
      <c r="E144" s="47">
        <f t="shared" si="7"/>
        <v>6.413</v>
      </c>
      <c r="F144" s="47">
        <f t="shared" si="7"/>
        <v>-1.032</v>
      </c>
      <c r="G144" s="47">
        <f t="shared" si="7"/>
        <v>-2.37</v>
      </c>
      <c r="H144" s="47">
        <f t="shared" si="7"/>
        <v>0</v>
      </c>
      <c r="I144" s="47">
        <f t="shared" si="7"/>
        <v>1.01</v>
      </c>
    </row>
    <row r="145" spans="1:9" ht="12.75">
      <c r="A145" s="13"/>
      <c r="B145" s="47"/>
      <c r="C145" s="47">
        <v>9</v>
      </c>
      <c r="D145" s="47">
        <f t="shared" si="7"/>
        <v>-0.078</v>
      </c>
      <c r="E145" s="47">
        <f t="shared" si="7"/>
        <v>-5.229</v>
      </c>
      <c r="F145" s="47">
        <f t="shared" si="7"/>
        <v>0.838</v>
      </c>
      <c r="G145" s="47">
        <f t="shared" si="7"/>
        <v>1.93</v>
      </c>
      <c r="H145" s="47">
        <f t="shared" si="7"/>
        <v>0</v>
      </c>
      <c r="I145" s="47">
        <f t="shared" si="7"/>
        <v>0.18</v>
      </c>
    </row>
    <row r="146" spans="1:9" ht="12.75">
      <c r="A146" s="13"/>
      <c r="B146" s="47"/>
      <c r="C146" s="47"/>
      <c r="D146" s="47"/>
      <c r="E146" s="47"/>
      <c r="F146" s="47"/>
      <c r="G146" s="47"/>
      <c r="H146" s="47"/>
      <c r="I146" s="47"/>
    </row>
    <row r="147" spans="1:9" ht="12.75">
      <c r="A147" s="13"/>
      <c r="B147" s="47">
        <f>A82</f>
        <v>9</v>
      </c>
      <c r="C147" s="47">
        <v>1</v>
      </c>
      <c r="D147" s="47">
        <f aca="true" t="shared" si="8" ref="D147:D155">F82</f>
        <v>-0.212</v>
      </c>
      <c r="E147" s="47">
        <f aca="true" t="shared" si="9" ref="E147:E155">G82</f>
        <v>3.032</v>
      </c>
      <c r="F147" s="47">
        <f aca="true" t="shared" si="10" ref="F147:F155">H82</f>
        <v>0.051</v>
      </c>
      <c r="G147" s="47">
        <f aca="true" t="shared" si="11" ref="G147:G155">I82</f>
        <v>0.12</v>
      </c>
      <c r="H147" s="47">
        <f aca="true" t="shared" si="12" ref="H147:H155">J82</f>
        <v>0</v>
      </c>
      <c r="I147" s="47">
        <f aca="true" t="shared" si="13" ref="I147:I155">K82</f>
        <v>0.49</v>
      </c>
    </row>
    <row r="148" spans="1:9" ht="12.75">
      <c r="A148" s="13"/>
      <c r="B148" s="47"/>
      <c r="C148" s="47">
        <v>2</v>
      </c>
      <c r="D148" s="47">
        <f t="shared" si="8"/>
        <v>0.058</v>
      </c>
      <c r="E148" s="47">
        <f t="shared" si="9"/>
        <v>0.932</v>
      </c>
      <c r="F148" s="47">
        <f t="shared" si="10"/>
        <v>0.002</v>
      </c>
      <c r="G148" s="47">
        <f t="shared" si="11"/>
        <v>0.01</v>
      </c>
      <c r="H148" s="47">
        <f t="shared" si="12"/>
        <v>0</v>
      </c>
      <c r="I148" s="47">
        <f t="shared" si="13"/>
        <v>-0.13</v>
      </c>
    </row>
    <row r="149" spans="1:9" ht="12.75">
      <c r="A149" s="13"/>
      <c r="B149" s="47"/>
      <c r="C149" s="47">
        <v>3</v>
      </c>
      <c r="D149" s="47">
        <f t="shared" si="8"/>
        <v>0.378</v>
      </c>
      <c r="E149" s="47">
        <f t="shared" si="9"/>
        <v>-3.629</v>
      </c>
      <c r="F149" s="47">
        <f t="shared" si="10"/>
        <v>-0.206</v>
      </c>
      <c r="G149" s="47">
        <f t="shared" si="11"/>
        <v>-0.47</v>
      </c>
      <c r="H149" s="47">
        <f t="shared" si="12"/>
        <v>0</v>
      </c>
      <c r="I149" s="47">
        <f t="shared" si="13"/>
        <v>-0.87</v>
      </c>
    </row>
    <row r="150" spans="1:9" ht="12.75">
      <c r="A150" s="13"/>
      <c r="B150" s="47"/>
      <c r="C150" s="47">
        <v>4</v>
      </c>
      <c r="D150" s="47">
        <f t="shared" si="8"/>
        <v>-0.532</v>
      </c>
      <c r="E150" s="47">
        <f t="shared" si="9"/>
        <v>7.595</v>
      </c>
      <c r="F150" s="47">
        <f t="shared" si="10"/>
        <v>0.26</v>
      </c>
      <c r="G150" s="47">
        <f t="shared" si="11"/>
        <v>0.6</v>
      </c>
      <c r="H150" s="47">
        <f t="shared" si="12"/>
        <v>0</v>
      </c>
      <c r="I150" s="47">
        <f t="shared" si="13"/>
        <v>1.22</v>
      </c>
    </row>
    <row r="151" spans="1:9" ht="12.75">
      <c r="A151" s="13"/>
      <c r="B151" s="47"/>
      <c r="C151" s="47">
        <v>5</v>
      </c>
      <c r="D151" s="47">
        <f t="shared" si="8"/>
        <v>-0.22</v>
      </c>
      <c r="E151" s="47">
        <f t="shared" si="9"/>
        <v>3.492</v>
      </c>
      <c r="F151" s="47">
        <f t="shared" si="10"/>
        <v>0.069</v>
      </c>
      <c r="G151" s="47">
        <f t="shared" si="11"/>
        <v>0.16</v>
      </c>
      <c r="H151" s="47">
        <f t="shared" si="12"/>
        <v>0</v>
      </c>
      <c r="I151" s="47">
        <f t="shared" si="13"/>
        <v>0.51</v>
      </c>
    </row>
    <row r="152" spans="1:9" ht="12.75">
      <c r="A152" s="13"/>
      <c r="B152" s="47"/>
      <c r="C152" s="47">
        <v>6</v>
      </c>
      <c r="D152" s="47">
        <f t="shared" si="8"/>
        <v>-0.355</v>
      </c>
      <c r="E152" s="47">
        <f t="shared" si="9"/>
        <v>4.541</v>
      </c>
      <c r="F152" s="47">
        <f t="shared" si="10"/>
        <v>0.093</v>
      </c>
      <c r="G152" s="47">
        <f t="shared" si="11"/>
        <v>0.21</v>
      </c>
      <c r="H152" s="47">
        <f t="shared" si="12"/>
        <v>0</v>
      </c>
      <c r="I152" s="47">
        <f t="shared" si="13"/>
        <v>0.82</v>
      </c>
    </row>
    <row r="153" spans="1:9" ht="12.75">
      <c r="A153" s="13"/>
      <c r="B153" s="47"/>
      <c r="C153" s="47">
        <v>7</v>
      </c>
      <c r="D153" s="47">
        <f t="shared" si="8"/>
        <v>-0.084</v>
      </c>
      <c r="E153" s="47">
        <f t="shared" si="9"/>
        <v>2.441</v>
      </c>
      <c r="F153" s="47">
        <f t="shared" si="10"/>
        <v>0.044</v>
      </c>
      <c r="G153" s="47">
        <f t="shared" si="11"/>
        <v>0.1</v>
      </c>
      <c r="H153" s="47">
        <f t="shared" si="12"/>
        <v>0</v>
      </c>
      <c r="I153" s="47">
        <f t="shared" si="13"/>
        <v>0.19</v>
      </c>
    </row>
    <row r="154" spans="1:9" ht="12.75">
      <c r="A154" s="13"/>
      <c r="B154" s="47"/>
      <c r="C154" s="47">
        <v>8</v>
      </c>
      <c r="D154" s="47">
        <f t="shared" si="8"/>
        <v>0.235</v>
      </c>
      <c r="E154" s="47">
        <f t="shared" si="9"/>
        <v>-2.12</v>
      </c>
      <c r="F154" s="47">
        <f t="shared" si="10"/>
        <v>-0.165</v>
      </c>
      <c r="G154" s="47">
        <f t="shared" si="11"/>
        <v>-0.38</v>
      </c>
      <c r="H154" s="47">
        <f t="shared" si="12"/>
        <v>0</v>
      </c>
      <c r="I154" s="47">
        <f t="shared" si="13"/>
        <v>-0.54</v>
      </c>
    </row>
    <row r="155" spans="1:9" ht="12.75">
      <c r="A155" s="13"/>
      <c r="B155" s="47"/>
      <c r="C155" s="47">
        <v>9</v>
      </c>
      <c r="D155" s="47">
        <f t="shared" si="8"/>
        <v>-0.675</v>
      </c>
      <c r="E155" s="47">
        <f t="shared" si="9"/>
        <v>9.105</v>
      </c>
      <c r="F155" s="47">
        <f t="shared" si="10"/>
        <v>0.302</v>
      </c>
      <c r="G155" s="47">
        <f t="shared" si="11"/>
        <v>0.69</v>
      </c>
      <c r="H155" s="47">
        <f t="shared" si="12"/>
        <v>0</v>
      </c>
      <c r="I155" s="47">
        <f t="shared" si="13"/>
        <v>1.55</v>
      </c>
    </row>
    <row r="156" spans="1:9" ht="12.75">
      <c r="A156" s="13"/>
      <c r="B156" s="47"/>
      <c r="C156" s="47"/>
      <c r="D156" s="47"/>
      <c r="E156" s="47"/>
      <c r="F156" s="47"/>
      <c r="G156" s="47"/>
      <c r="H156" s="47"/>
      <c r="I156" s="47"/>
    </row>
    <row r="157" spans="1:9" ht="12.75">
      <c r="A157" s="13"/>
      <c r="B157" s="47">
        <f>A113</f>
        <v>10</v>
      </c>
      <c r="C157" s="47">
        <v>1</v>
      </c>
      <c r="D157" s="47">
        <f aca="true" t="shared" si="14" ref="D157:I163">F113</f>
        <v>-0.213</v>
      </c>
      <c r="E157" s="47">
        <f t="shared" si="14"/>
        <v>3.032</v>
      </c>
      <c r="F157" s="47">
        <f t="shared" si="14"/>
        <v>-0.051</v>
      </c>
      <c r="G157" s="47">
        <f t="shared" si="14"/>
        <v>-0.12</v>
      </c>
      <c r="H157" s="47">
        <f t="shared" si="14"/>
        <v>0</v>
      </c>
      <c r="I157" s="47">
        <f t="shared" si="14"/>
        <v>0.49</v>
      </c>
    </row>
    <row r="158" spans="1:9" ht="12.75">
      <c r="A158" s="13"/>
      <c r="B158" s="47"/>
      <c r="C158" s="47">
        <v>2</v>
      </c>
      <c r="D158" s="47">
        <f t="shared" si="14"/>
        <v>0.058</v>
      </c>
      <c r="E158" s="47">
        <f t="shared" si="14"/>
        <v>0.931</v>
      </c>
      <c r="F158" s="47">
        <f t="shared" si="14"/>
        <v>-0.002</v>
      </c>
      <c r="G158" s="47">
        <f t="shared" si="14"/>
        <v>0</v>
      </c>
      <c r="H158" s="47">
        <f t="shared" si="14"/>
        <v>0</v>
      </c>
      <c r="I158" s="47">
        <f t="shared" si="14"/>
        <v>-0.13</v>
      </c>
    </row>
    <row r="159" spans="1:9" ht="12.75">
      <c r="A159" s="13"/>
      <c r="B159" s="47"/>
      <c r="C159" s="47">
        <v>3</v>
      </c>
      <c r="D159" s="47">
        <f t="shared" si="14"/>
        <v>-0.528</v>
      </c>
      <c r="E159" s="47">
        <f t="shared" si="14"/>
        <v>7.546</v>
      </c>
      <c r="F159" s="47">
        <f t="shared" si="14"/>
        <v>-0.259</v>
      </c>
      <c r="G159" s="47">
        <f t="shared" si="14"/>
        <v>-0.6</v>
      </c>
      <c r="H159" s="47">
        <f t="shared" si="14"/>
        <v>0</v>
      </c>
      <c r="I159" s="47">
        <f t="shared" si="14"/>
        <v>1.21</v>
      </c>
    </row>
    <row r="160" spans="1:9" ht="12.75">
      <c r="A160" s="13"/>
      <c r="B160" s="47"/>
      <c r="C160" s="47">
        <v>4</v>
      </c>
      <c r="D160" s="47">
        <f t="shared" si="14"/>
        <v>0.373</v>
      </c>
      <c r="E160" s="47">
        <f t="shared" si="14"/>
        <v>-3.581</v>
      </c>
      <c r="F160" s="47">
        <f t="shared" si="14"/>
        <v>0.206</v>
      </c>
      <c r="G160" s="47">
        <f t="shared" si="14"/>
        <v>0.47</v>
      </c>
      <c r="H160" s="47">
        <f t="shared" si="14"/>
        <v>0</v>
      </c>
      <c r="I160" s="47">
        <f t="shared" si="14"/>
        <v>-0.86</v>
      </c>
    </row>
    <row r="161" spans="1:9" ht="12.75">
      <c r="A161" s="13"/>
      <c r="B161" s="47"/>
      <c r="C161" s="47">
        <v>5</v>
      </c>
      <c r="D161" s="47">
        <f t="shared" si="14"/>
        <v>-0.35</v>
      </c>
      <c r="E161" s="47">
        <f t="shared" si="14"/>
        <v>4.888</v>
      </c>
      <c r="F161" s="47">
        <f t="shared" si="14"/>
        <v>-0.093</v>
      </c>
      <c r="G161" s="47">
        <f t="shared" si="14"/>
        <v>-0.21</v>
      </c>
      <c r="H161" s="47">
        <f t="shared" si="14"/>
        <v>0</v>
      </c>
      <c r="I161" s="47">
        <f t="shared" si="14"/>
        <v>0.81</v>
      </c>
    </row>
    <row r="162" spans="1:9" ht="12.75">
      <c r="A162" s="13"/>
      <c r="B162" s="47"/>
      <c r="C162" s="47">
        <v>6</v>
      </c>
      <c r="D162" s="47">
        <f t="shared" si="14"/>
        <v>-0.485</v>
      </c>
      <c r="E162" s="47">
        <f t="shared" si="14"/>
        <v>5.937</v>
      </c>
      <c r="F162" s="47">
        <f t="shared" si="14"/>
        <v>-0.118</v>
      </c>
      <c r="G162" s="47">
        <f t="shared" si="14"/>
        <v>-0.27</v>
      </c>
      <c r="H162" s="47">
        <f t="shared" si="14"/>
        <v>0</v>
      </c>
      <c r="I162" s="47">
        <f t="shared" si="14"/>
        <v>1.12</v>
      </c>
    </row>
    <row r="163" spans="1:9" ht="12.75">
      <c r="A163" s="13"/>
      <c r="B163" s="47"/>
      <c r="C163" s="47">
        <v>7</v>
      </c>
      <c r="D163" s="47">
        <f t="shared" si="14"/>
        <v>-0.215</v>
      </c>
      <c r="E163" s="47">
        <f t="shared" si="14"/>
        <v>3.837</v>
      </c>
      <c r="F163" s="47">
        <f t="shared" si="14"/>
        <v>-0.069</v>
      </c>
      <c r="G163" s="47">
        <f t="shared" si="14"/>
        <v>-0.16</v>
      </c>
      <c r="H163" s="47">
        <f t="shared" si="14"/>
        <v>0</v>
      </c>
      <c r="I163" s="47">
        <f t="shared" si="14"/>
        <v>0.49</v>
      </c>
    </row>
    <row r="164" spans="1:9" ht="12.75">
      <c r="A164" s="13"/>
      <c r="B164" s="47"/>
      <c r="C164" s="47">
        <v>8</v>
      </c>
      <c r="D164" s="47">
        <f aca="true" t="shared" si="15" ref="D164:I165">F120</f>
        <v>-0.801</v>
      </c>
      <c r="E164" s="47">
        <f t="shared" si="15"/>
        <v>10.452</v>
      </c>
      <c r="F164" s="47">
        <f t="shared" si="15"/>
        <v>-0.326</v>
      </c>
      <c r="G164" s="47">
        <f t="shared" si="15"/>
        <v>-0.75</v>
      </c>
      <c r="H164" s="47">
        <f t="shared" si="15"/>
        <v>0</v>
      </c>
      <c r="I164" s="47">
        <f t="shared" si="15"/>
        <v>1.84</v>
      </c>
    </row>
    <row r="165" spans="1:9" ht="12.75">
      <c r="A165" s="13"/>
      <c r="B165" s="47"/>
      <c r="C165" s="47">
        <v>9</v>
      </c>
      <c r="D165" s="47">
        <f t="shared" si="15"/>
        <v>0.1</v>
      </c>
      <c r="E165" s="47">
        <f t="shared" si="15"/>
        <v>-0.675</v>
      </c>
      <c r="F165" s="47">
        <f t="shared" si="15"/>
        <v>0.139</v>
      </c>
      <c r="G165" s="47">
        <f t="shared" si="15"/>
        <v>0.32</v>
      </c>
      <c r="H165" s="47">
        <f t="shared" si="15"/>
        <v>0</v>
      </c>
      <c r="I165" s="47">
        <f t="shared" si="15"/>
        <v>-0.23</v>
      </c>
    </row>
    <row r="166" spans="2:9" ht="12.75">
      <c r="B166" s="48"/>
      <c r="C166" s="49"/>
      <c r="D166" s="48"/>
      <c r="E166" s="48"/>
      <c r="F166" s="48"/>
      <c r="G166" s="48"/>
      <c r="H166" s="48"/>
      <c r="I166" s="48"/>
    </row>
    <row r="168" ht="12.75">
      <c r="A168" s="2" t="s">
        <v>38</v>
      </c>
    </row>
    <row r="169" spans="1:9" ht="12.75">
      <c r="A169" s="2"/>
      <c r="G169" s="50"/>
      <c r="H169" s="51" t="s">
        <v>39</v>
      </c>
      <c r="I169" s="52"/>
    </row>
    <row r="170" spans="2:9" ht="12.75">
      <c r="B170" s="53" t="s">
        <v>36</v>
      </c>
      <c r="C170" s="53" t="s">
        <v>37</v>
      </c>
      <c r="D170" s="53" t="s">
        <v>40</v>
      </c>
      <c r="E170" s="53" t="s">
        <v>41</v>
      </c>
      <c r="F170" s="53" t="s">
        <v>42</v>
      </c>
      <c r="G170" s="53" t="s">
        <v>43</v>
      </c>
      <c r="H170" s="53" t="s">
        <v>44</v>
      </c>
      <c r="I170" s="53" t="s">
        <v>45</v>
      </c>
    </row>
    <row r="171" spans="2:9" ht="12.75">
      <c r="B171" s="54">
        <f>A67</f>
        <v>7</v>
      </c>
      <c r="C171" s="54">
        <v>1</v>
      </c>
      <c r="D171" s="54">
        <f aca="true" t="shared" si="16" ref="D171:F177">F67</f>
        <v>-0.184</v>
      </c>
      <c r="E171" s="54">
        <f t="shared" si="16"/>
        <v>0.105</v>
      </c>
      <c r="F171" s="54">
        <f t="shared" si="16"/>
        <v>-0.017</v>
      </c>
      <c r="G171" s="54">
        <f>IF(E171&lt;0,-ROUNDUP(E171*$H$9,3),-ROUNDUP(E171*$H$9,3))</f>
        <v>-0.079</v>
      </c>
      <c r="H171" s="55" t="s">
        <v>46</v>
      </c>
      <c r="I171" s="54">
        <f>IF(E171&lt;0,-ROUNDUP(E171*$G$16,3),-ROUNDUP(E171*$G$16,3))</f>
        <v>-0.079</v>
      </c>
    </row>
    <row r="172" spans="2:9" ht="12.75">
      <c r="B172" s="54"/>
      <c r="C172" s="54">
        <v>2</v>
      </c>
      <c r="D172" s="54">
        <f t="shared" si="16"/>
        <v>0.097</v>
      </c>
      <c r="E172" s="54">
        <f t="shared" si="16"/>
        <v>2.203</v>
      </c>
      <c r="F172" s="54">
        <f t="shared" si="16"/>
        <v>0.033</v>
      </c>
      <c r="G172" s="54">
        <f aca="true" t="shared" si="17" ref="G172:G179">IF(E172&lt;0,-ROUNDUP(E172*$H$9,3),-ROUNDUP(E172*$H$9,3))</f>
        <v>-1.6529999999999998</v>
      </c>
      <c r="H172" s="55" t="s">
        <v>46</v>
      </c>
      <c r="I172" s="54">
        <f aca="true" t="shared" si="18" ref="I172:I179">IF(E172&lt;0,-ROUNDUP(E172*$G$16,3),-ROUNDUP(E172*$G$16,3))</f>
        <v>-1.6529999999999998</v>
      </c>
    </row>
    <row r="173" spans="2:9" ht="12.75">
      <c r="B173" s="54"/>
      <c r="C173" s="54">
        <v>3</v>
      </c>
      <c r="D173" s="54">
        <f t="shared" si="16"/>
        <v>0.141</v>
      </c>
      <c r="E173" s="54">
        <f t="shared" si="16"/>
        <v>-4.62</v>
      </c>
      <c r="F173" s="54">
        <f t="shared" si="16"/>
        <v>-0.926</v>
      </c>
      <c r="G173" s="54">
        <f t="shared" si="17"/>
        <v>3.465</v>
      </c>
      <c r="H173" s="55" t="s">
        <v>46</v>
      </c>
      <c r="I173" s="54">
        <f t="shared" si="18"/>
        <v>3.465</v>
      </c>
    </row>
    <row r="174" spans="2:9" ht="12.75">
      <c r="B174" s="54"/>
      <c r="C174" s="54">
        <v>4</v>
      </c>
      <c r="D174" s="54">
        <f t="shared" si="16"/>
        <v>-0.228</v>
      </c>
      <c r="E174" s="54">
        <f t="shared" si="16"/>
        <v>6.925</v>
      </c>
      <c r="F174" s="54">
        <f t="shared" si="16"/>
        <v>0.941</v>
      </c>
      <c r="G174" s="54">
        <f t="shared" si="17"/>
        <v>-5.194</v>
      </c>
      <c r="H174" s="55" t="s">
        <v>46</v>
      </c>
      <c r="I174" s="54">
        <f t="shared" si="18"/>
        <v>-5.194</v>
      </c>
    </row>
    <row r="175" spans="2:9" ht="12.75">
      <c r="B175" s="54"/>
      <c r="C175" s="54">
        <v>5</v>
      </c>
      <c r="D175" s="54">
        <f t="shared" si="16"/>
        <v>-0.196</v>
      </c>
      <c r="E175" s="54">
        <f t="shared" si="16"/>
        <v>-0.868</v>
      </c>
      <c r="F175" s="54">
        <f t="shared" si="16"/>
        <v>-0.141</v>
      </c>
      <c r="G175" s="54">
        <f t="shared" si="17"/>
        <v>0.651</v>
      </c>
      <c r="H175" s="55" t="s">
        <v>46</v>
      </c>
      <c r="I175" s="54">
        <f t="shared" si="18"/>
        <v>0.651</v>
      </c>
    </row>
    <row r="176" spans="2:9" ht="12.75">
      <c r="B176" s="54"/>
      <c r="C176" s="54">
        <v>6</v>
      </c>
      <c r="D176" s="54">
        <f t="shared" si="16"/>
        <v>-0.336</v>
      </c>
      <c r="E176" s="54">
        <f t="shared" si="16"/>
        <v>-1.916</v>
      </c>
      <c r="F176" s="54">
        <f t="shared" si="16"/>
        <v>-0.166</v>
      </c>
      <c r="G176" s="54">
        <f t="shared" si="17"/>
        <v>1.437</v>
      </c>
      <c r="H176" s="55" t="s">
        <v>46</v>
      </c>
      <c r="I176" s="54">
        <f t="shared" si="18"/>
        <v>1.437</v>
      </c>
    </row>
    <row r="177" spans="2:9" ht="12.75">
      <c r="B177" s="54"/>
      <c r="C177" s="54">
        <v>7</v>
      </c>
      <c r="D177" s="54">
        <f t="shared" si="16"/>
        <v>-0.056</v>
      </c>
      <c r="E177" s="54">
        <f t="shared" si="16"/>
        <v>0.182</v>
      </c>
      <c r="F177" s="54">
        <f t="shared" si="16"/>
        <v>-0.116</v>
      </c>
      <c r="G177" s="54">
        <f t="shared" si="17"/>
        <v>-0.137</v>
      </c>
      <c r="H177" s="55" t="s">
        <v>46</v>
      </c>
      <c r="I177" s="54">
        <f t="shared" si="18"/>
        <v>-0.137</v>
      </c>
    </row>
    <row r="178" spans="2:9" ht="12.75">
      <c r="B178" s="54"/>
      <c r="C178" s="54">
        <v>8</v>
      </c>
      <c r="D178" s="54">
        <f aca="true" t="shared" si="19" ref="D178:F179">F74</f>
        <v>-0.012</v>
      </c>
      <c r="E178" s="54">
        <f t="shared" si="19"/>
        <v>-6.64</v>
      </c>
      <c r="F178" s="54">
        <f t="shared" si="19"/>
        <v>-1.074</v>
      </c>
      <c r="G178" s="54">
        <f t="shared" si="17"/>
        <v>4.98</v>
      </c>
      <c r="H178" s="55" t="s">
        <v>46</v>
      </c>
      <c r="I178" s="54">
        <f t="shared" si="18"/>
        <v>4.98</v>
      </c>
    </row>
    <row r="179" spans="2:9" ht="12.75">
      <c r="B179" s="54"/>
      <c r="C179" s="54">
        <v>9</v>
      </c>
      <c r="D179" s="54">
        <f t="shared" si="19"/>
        <v>-0.38</v>
      </c>
      <c r="E179" s="54">
        <f t="shared" si="19"/>
        <v>4.904</v>
      </c>
      <c r="F179" s="54">
        <f t="shared" si="19"/>
        <v>0.793</v>
      </c>
      <c r="G179" s="54">
        <f t="shared" si="17"/>
        <v>-3.678</v>
      </c>
      <c r="H179" s="55" t="s">
        <v>46</v>
      </c>
      <c r="I179" s="54">
        <f t="shared" si="18"/>
        <v>-3.678</v>
      </c>
    </row>
    <row r="180" spans="2:9" ht="12.75">
      <c r="B180" s="54"/>
      <c r="C180" s="54"/>
      <c r="D180" s="54"/>
      <c r="E180" s="54"/>
      <c r="F180" s="54"/>
      <c r="G180" s="54"/>
      <c r="H180" s="55"/>
      <c r="I180" s="54"/>
    </row>
    <row r="181" spans="2:9" ht="12.75">
      <c r="B181" s="54">
        <f>A82</f>
        <v>9</v>
      </c>
      <c r="C181" s="54">
        <v>1</v>
      </c>
      <c r="D181" s="54">
        <f aca="true" t="shared" si="20" ref="D181:D189">F82</f>
        <v>-0.212</v>
      </c>
      <c r="E181" s="54">
        <f aca="true" t="shared" si="21" ref="E181:E189">G82</f>
        <v>3.032</v>
      </c>
      <c r="F181" s="54">
        <f aca="true" t="shared" si="22" ref="F181:F189">H82</f>
        <v>0.051</v>
      </c>
      <c r="G181" s="54">
        <f>IF(E181&lt;0,-ROUNDUP(E181*$H$9,3),-ROUNDUP(E181*$H$9,3))</f>
        <v>-2.274</v>
      </c>
      <c r="H181" s="55" t="s">
        <v>46</v>
      </c>
      <c r="I181" s="54">
        <f>IF(E181&lt;0,ROUNDUP(E181*$G$16,3),ROUNDUP(E181*$G$16,3))</f>
        <v>2.274</v>
      </c>
    </row>
    <row r="182" spans="2:9" ht="12.75">
      <c r="B182" s="54"/>
      <c r="C182" s="54">
        <v>2</v>
      </c>
      <c r="D182" s="54">
        <f t="shared" si="20"/>
        <v>0.058</v>
      </c>
      <c r="E182" s="54">
        <f t="shared" si="21"/>
        <v>0.932</v>
      </c>
      <c r="F182" s="54">
        <f t="shared" si="22"/>
        <v>0.002</v>
      </c>
      <c r="G182" s="54">
        <f aca="true" t="shared" si="23" ref="G182:G189">IF(E182&lt;0,-ROUNDUP(E182*$H$9,3),-ROUNDUP(E182*$H$9,3))</f>
        <v>-0.699</v>
      </c>
      <c r="H182" s="55" t="s">
        <v>46</v>
      </c>
      <c r="I182" s="54">
        <f aca="true" t="shared" si="24" ref="I182:I189">IF(E182&lt;0,ROUNDUP(E182*$G$16,3),ROUNDUP(E182*$G$16,3))</f>
        <v>0.699</v>
      </c>
    </row>
    <row r="183" spans="2:9" ht="12.75">
      <c r="B183" s="54"/>
      <c r="C183" s="54">
        <v>3</v>
      </c>
      <c r="D183" s="54">
        <f t="shared" si="20"/>
        <v>0.378</v>
      </c>
      <c r="E183" s="54">
        <f t="shared" si="21"/>
        <v>-3.629</v>
      </c>
      <c r="F183" s="54">
        <f t="shared" si="22"/>
        <v>-0.206</v>
      </c>
      <c r="G183" s="54">
        <f t="shared" si="23"/>
        <v>2.722</v>
      </c>
      <c r="H183" s="55" t="s">
        <v>46</v>
      </c>
      <c r="I183" s="54">
        <f t="shared" si="24"/>
        <v>-2.722</v>
      </c>
    </row>
    <row r="184" spans="2:9" ht="12.75">
      <c r="B184" s="54"/>
      <c r="C184" s="54">
        <v>4</v>
      </c>
      <c r="D184" s="54">
        <f t="shared" si="20"/>
        <v>-0.532</v>
      </c>
      <c r="E184" s="54">
        <f t="shared" si="21"/>
        <v>7.595</v>
      </c>
      <c r="F184" s="54">
        <f t="shared" si="22"/>
        <v>0.26</v>
      </c>
      <c r="G184" s="54">
        <f t="shared" si="23"/>
        <v>-5.697</v>
      </c>
      <c r="H184" s="55" t="s">
        <v>46</v>
      </c>
      <c r="I184" s="54">
        <f t="shared" si="24"/>
        <v>5.697</v>
      </c>
    </row>
    <row r="185" spans="2:9" ht="12.75">
      <c r="B185" s="54"/>
      <c r="C185" s="54">
        <v>5</v>
      </c>
      <c r="D185" s="54">
        <f t="shared" si="20"/>
        <v>-0.22</v>
      </c>
      <c r="E185" s="54">
        <f t="shared" si="21"/>
        <v>3.492</v>
      </c>
      <c r="F185" s="54">
        <f t="shared" si="22"/>
        <v>0.069</v>
      </c>
      <c r="G185" s="54">
        <f t="shared" si="23"/>
        <v>-2.619</v>
      </c>
      <c r="H185" s="55" t="s">
        <v>46</v>
      </c>
      <c r="I185" s="54">
        <f t="shared" si="24"/>
        <v>2.619</v>
      </c>
    </row>
    <row r="186" spans="2:9" ht="12.75">
      <c r="B186" s="54"/>
      <c r="C186" s="54">
        <v>6</v>
      </c>
      <c r="D186" s="54">
        <f t="shared" si="20"/>
        <v>-0.355</v>
      </c>
      <c r="E186" s="54">
        <f t="shared" si="21"/>
        <v>4.541</v>
      </c>
      <c r="F186" s="54">
        <f t="shared" si="22"/>
        <v>0.093</v>
      </c>
      <c r="G186" s="54">
        <f t="shared" si="23"/>
        <v>-3.4059999999999997</v>
      </c>
      <c r="H186" s="55" t="s">
        <v>46</v>
      </c>
      <c r="I186" s="54">
        <f t="shared" si="24"/>
        <v>3.4059999999999997</v>
      </c>
    </row>
    <row r="187" spans="2:9" ht="12.75">
      <c r="B187" s="54"/>
      <c r="C187" s="54">
        <v>7</v>
      </c>
      <c r="D187" s="54">
        <f t="shared" si="20"/>
        <v>-0.084</v>
      </c>
      <c r="E187" s="54">
        <f t="shared" si="21"/>
        <v>2.441</v>
      </c>
      <c r="F187" s="54">
        <f t="shared" si="22"/>
        <v>0.044</v>
      </c>
      <c r="G187" s="54">
        <f t="shared" si="23"/>
        <v>-1.831</v>
      </c>
      <c r="H187" s="55" t="s">
        <v>46</v>
      </c>
      <c r="I187" s="54">
        <f t="shared" si="24"/>
        <v>1.831</v>
      </c>
    </row>
    <row r="188" spans="2:9" ht="12.75">
      <c r="B188" s="54"/>
      <c r="C188" s="54">
        <v>8</v>
      </c>
      <c r="D188" s="54">
        <f t="shared" si="20"/>
        <v>0.235</v>
      </c>
      <c r="E188" s="54">
        <f t="shared" si="21"/>
        <v>-2.12</v>
      </c>
      <c r="F188" s="54">
        <f t="shared" si="22"/>
        <v>-0.165</v>
      </c>
      <c r="G188" s="54">
        <f t="shared" si="23"/>
        <v>1.59</v>
      </c>
      <c r="H188" s="55" t="s">
        <v>46</v>
      </c>
      <c r="I188" s="54">
        <f t="shared" si="24"/>
        <v>-1.59</v>
      </c>
    </row>
    <row r="189" spans="2:9" ht="12.75">
      <c r="B189" s="54"/>
      <c r="C189" s="54">
        <v>9</v>
      </c>
      <c r="D189" s="54">
        <f t="shared" si="20"/>
        <v>-0.675</v>
      </c>
      <c r="E189" s="54">
        <f t="shared" si="21"/>
        <v>9.105</v>
      </c>
      <c r="F189" s="54">
        <f t="shared" si="22"/>
        <v>0.302</v>
      </c>
      <c r="G189" s="54">
        <f t="shared" si="23"/>
        <v>-6.829000000000001</v>
      </c>
      <c r="H189" s="55" t="s">
        <v>46</v>
      </c>
      <c r="I189" s="54">
        <f t="shared" si="24"/>
        <v>6.829000000000001</v>
      </c>
    </row>
    <row r="190" spans="2:9" ht="12.75">
      <c r="B190" s="54"/>
      <c r="C190" s="54"/>
      <c r="D190" s="54"/>
      <c r="E190" s="54"/>
      <c r="F190" s="54"/>
      <c r="G190" s="54"/>
      <c r="H190" s="54"/>
      <c r="I190" s="54"/>
    </row>
    <row r="191" spans="2:9" ht="12.75">
      <c r="B191" s="54">
        <f>A97</f>
        <v>8</v>
      </c>
      <c r="C191" s="54">
        <v>1</v>
      </c>
      <c r="D191" s="54">
        <f aca="true" t="shared" si="25" ref="D191:F197">F97</f>
        <v>-0.184</v>
      </c>
      <c r="E191" s="54">
        <f t="shared" si="25"/>
        <v>0.105</v>
      </c>
      <c r="F191" s="54">
        <f t="shared" si="25"/>
        <v>0.017</v>
      </c>
      <c r="G191" s="54">
        <f>IF(E191&lt;0,ROUNDUP(E191*$H$9,3),ROUNDUP(E191*$H$9,3))</f>
        <v>0.079</v>
      </c>
      <c r="H191" s="55" t="s">
        <v>46</v>
      </c>
      <c r="I191" s="54">
        <f>IF(E191&lt;0,-ROUNDUP(E191*$G$16,3),-ROUNDUP(E191*$G$16,3))</f>
        <v>-0.079</v>
      </c>
    </row>
    <row r="192" spans="2:9" ht="12.75">
      <c r="B192" s="54"/>
      <c r="C192" s="54">
        <v>2</v>
      </c>
      <c r="D192" s="54">
        <f t="shared" si="25"/>
        <v>0.097</v>
      </c>
      <c r="E192" s="54">
        <f t="shared" si="25"/>
        <v>2.203</v>
      </c>
      <c r="F192" s="54">
        <f t="shared" si="25"/>
        <v>-0.033</v>
      </c>
      <c r="G192" s="54">
        <f aca="true" t="shared" si="26" ref="G192:G199">IF(E192&lt;0,ROUNDUP(E192*$H$9,3),ROUNDUP(E192*$H$9,3))</f>
        <v>1.6529999999999998</v>
      </c>
      <c r="H192" s="55" t="s">
        <v>46</v>
      </c>
      <c r="I192" s="54">
        <f aca="true" t="shared" si="27" ref="I192:I199">IF(E192&lt;0,-ROUNDUP(E192*$G$16,3),-ROUNDUP(E192*$G$16,3))</f>
        <v>-1.6529999999999998</v>
      </c>
    </row>
    <row r="193" spans="2:9" ht="12.75">
      <c r="B193" s="54"/>
      <c r="C193" s="54">
        <v>3</v>
      </c>
      <c r="D193" s="54">
        <f t="shared" si="25"/>
        <v>-0.223</v>
      </c>
      <c r="E193" s="54">
        <f t="shared" si="25"/>
        <v>6.973</v>
      </c>
      <c r="F193" s="54">
        <f t="shared" si="25"/>
        <v>-0.943</v>
      </c>
      <c r="G193" s="54">
        <f t="shared" si="26"/>
        <v>5.23</v>
      </c>
      <c r="H193" s="55" t="s">
        <v>46</v>
      </c>
      <c r="I193" s="54">
        <f t="shared" si="27"/>
        <v>-5.23</v>
      </c>
    </row>
    <row r="194" spans="2:9" ht="12.75">
      <c r="B194" s="54"/>
      <c r="C194" s="54">
        <v>4</v>
      </c>
      <c r="D194" s="54">
        <f t="shared" si="25"/>
        <v>0.136</v>
      </c>
      <c r="E194" s="54">
        <f t="shared" si="25"/>
        <v>-4.668</v>
      </c>
      <c r="F194" s="54">
        <f t="shared" si="25"/>
        <v>0.927</v>
      </c>
      <c r="G194" s="54">
        <f t="shared" si="26"/>
        <v>-3.501</v>
      </c>
      <c r="H194" s="55" t="s">
        <v>46</v>
      </c>
      <c r="I194" s="54">
        <f t="shared" si="27"/>
        <v>3.501</v>
      </c>
    </row>
    <row r="195" spans="2:9" ht="12.75">
      <c r="B195" s="54"/>
      <c r="C195" s="54">
        <v>5</v>
      </c>
      <c r="D195" s="54">
        <f t="shared" si="25"/>
        <v>-0.258</v>
      </c>
      <c r="E195" s="54">
        <f t="shared" si="25"/>
        <v>0.592</v>
      </c>
      <c r="F195" s="54">
        <f t="shared" si="25"/>
        <v>-0.097</v>
      </c>
      <c r="G195" s="54">
        <f t="shared" si="26"/>
        <v>0.444</v>
      </c>
      <c r="H195" s="55" t="s">
        <v>46</v>
      </c>
      <c r="I195" s="54">
        <f t="shared" si="27"/>
        <v>-0.444</v>
      </c>
    </row>
    <row r="196" spans="2:9" ht="12.75">
      <c r="B196" s="54"/>
      <c r="C196" s="54">
        <v>6</v>
      </c>
      <c r="D196" s="54">
        <f t="shared" si="25"/>
        <v>-0.398</v>
      </c>
      <c r="E196" s="54">
        <f t="shared" si="25"/>
        <v>-0.455</v>
      </c>
      <c r="F196" s="54">
        <f t="shared" si="25"/>
        <v>-0.072</v>
      </c>
      <c r="G196" s="54">
        <f t="shared" si="26"/>
        <v>-0.342</v>
      </c>
      <c r="H196" s="55" t="s">
        <v>46</v>
      </c>
      <c r="I196" s="54">
        <f t="shared" si="27"/>
        <v>0.342</v>
      </c>
    </row>
    <row r="197" spans="2:9" ht="12.75">
      <c r="B197" s="54"/>
      <c r="C197" s="54">
        <v>7</v>
      </c>
      <c r="D197" s="54">
        <f t="shared" si="25"/>
        <v>-0.117</v>
      </c>
      <c r="E197" s="54">
        <f t="shared" si="25"/>
        <v>1.642</v>
      </c>
      <c r="F197" s="54">
        <f t="shared" si="25"/>
        <v>-0.122</v>
      </c>
      <c r="G197" s="54">
        <f t="shared" si="26"/>
        <v>1.232</v>
      </c>
      <c r="H197" s="55" t="s">
        <v>46</v>
      </c>
      <c r="I197" s="54">
        <f t="shared" si="27"/>
        <v>-1.232</v>
      </c>
    </row>
    <row r="198" spans="2:9" ht="12.75">
      <c r="B198" s="54"/>
      <c r="C198" s="54">
        <v>8</v>
      </c>
      <c r="D198" s="54">
        <f aca="true" t="shared" si="28" ref="D198:F199">F104</f>
        <v>-0.438</v>
      </c>
      <c r="E198" s="54">
        <f t="shared" si="28"/>
        <v>6.413</v>
      </c>
      <c r="F198" s="54">
        <f t="shared" si="28"/>
        <v>-1.032</v>
      </c>
      <c r="G198" s="54">
        <f t="shared" si="26"/>
        <v>4.8100000000000005</v>
      </c>
      <c r="H198" s="55" t="s">
        <v>46</v>
      </c>
      <c r="I198" s="54">
        <f t="shared" si="27"/>
        <v>-4.8100000000000005</v>
      </c>
    </row>
    <row r="199" spans="2:9" ht="12.75">
      <c r="B199" s="54"/>
      <c r="C199" s="54">
        <v>9</v>
      </c>
      <c r="D199" s="54">
        <f t="shared" si="28"/>
        <v>-0.078</v>
      </c>
      <c r="E199" s="54">
        <f t="shared" si="28"/>
        <v>-5.229</v>
      </c>
      <c r="F199" s="54">
        <f t="shared" si="28"/>
        <v>0.838</v>
      </c>
      <c r="G199" s="54">
        <f t="shared" si="26"/>
        <v>-3.9219999999999997</v>
      </c>
      <c r="H199" s="55" t="s">
        <v>46</v>
      </c>
      <c r="I199" s="54">
        <f t="shared" si="27"/>
        <v>3.9219999999999997</v>
      </c>
    </row>
    <row r="200" spans="2:9" ht="12.75">
      <c r="B200" s="54"/>
      <c r="C200" s="54"/>
      <c r="D200" s="54"/>
      <c r="E200" s="54"/>
      <c r="F200" s="54"/>
      <c r="G200" s="54"/>
      <c r="H200" s="54"/>
      <c r="I200" s="54"/>
    </row>
    <row r="201" spans="2:9" ht="12.75">
      <c r="B201" s="54">
        <f>A113</f>
        <v>10</v>
      </c>
      <c r="C201" s="54">
        <v>1</v>
      </c>
      <c r="D201" s="54">
        <f aca="true" t="shared" si="29" ref="D201:F207">F113</f>
        <v>-0.213</v>
      </c>
      <c r="E201" s="54">
        <f t="shared" si="29"/>
        <v>3.032</v>
      </c>
      <c r="F201" s="54">
        <f t="shared" si="29"/>
        <v>-0.051</v>
      </c>
      <c r="G201" s="54">
        <f>IF(E201&lt;0,ROUNDUP(E201*$H$9,3),ROUNDUP(E201*$H$9,3))</f>
        <v>2.274</v>
      </c>
      <c r="H201" s="55" t="s">
        <v>46</v>
      </c>
      <c r="I201" s="54">
        <f>IF(E201&lt;0,ROUNDUP(E201*$G$16,3),ROUNDUP(E201*$G$16,3))</f>
        <v>2.274</v>
      </c>
    </row>
    <row r="202" spans="2:9" ht="12.75">
      <c r="B202" s="54"/>
      <c r="C202" s="54">
        <v>2</v>
      </c>
      <c r="D202" s="54">
        <f t="shared" si="29"/>
        <v>0.058</v>
      </c>
      <c r="E202" s="54">
        <f t="shared" si="29"/>
        <v>0.931</v>
      </c>
      <c r="F202" s="54">
        <f t="shared" si="29"/>
        <v>-0.002</v>
      </c>
      <c r="G202" s="54">
        <f aca="true" t="shared" si="30" ref="G202:G209">IF(E202&lt;0,ROUNDUP(E202*$H$9,3),ROUNDUP(E202*$H$9,3))</f>
        <v>0.699</v>
      </c>
      <c r="H202" s="55" t="s">
        <v>46</v>
      </c>
      <c r="I202" s="54">
        <f aca="true" t="shared" si="31" ref="I202:I209">IF(E202&lt;0,ROUNDUP(E202*$G$16,3),ROUNDUP(E202*$G$16,3))</f>
        <v>0.699</v>
      </c>
    </row>
    <row r="203" spans="2:9" ht="12.75">
      <c r="B203" s="54"/>
      <c r="C203" s="54">
        <v>3</v>
      </c>
      <c r="D203" s="54">
        <f t="shared" si="29"/>
        <v>-0.528</v>
      </c>
      <c r="E203" s="54">
        <f t="shared" si="29"/>
        <v>7.546</v>
      </c>
      <c r="F203" s="54">
        <f t="shared" si="29"/>
        <v>-0.259</v>
      </c>
      <c r="G203" s="54">
        <f t="shared" si="30"/>
        <v>5.66</v>
      </c>
      <c r="H203" s="55" t="s">
        <v>46</v>
      </c>
      <c r="I203" s="54">
        <f t="shared" si="31"/>
        <v>5.66</v>
      </c>
    </row>
    <row r="204" spans="2:9" ht="12.75">
      <c r="B204" s="54"/>
      <c r="C204" s="54">
        <v>4</v>
      </c>
      <c r="D204" s="54">
        <f t="shared" si="29"/>
        <v>0.373</v>
      </c>
      <c r="E204" s="54">
        <f t="shared" si="29"/>
        <v>-3.581</v>
      </c>
      <c r="F204" s="54">
        <f t="shared" si="29"/>
        <v>0.206</v>
      </c>
      <c r="G204" s="54">
        <f t="shared" si="30"/>
        <v>-2.686</v>
      </c>
      <c r="H204" s="55" t="s">
        <v>46</v>
      </c>
      <c r="I204" s="54">
        <f t="shared" si="31"/>
        <v>-2.686</v>
      </c>
    </row>
    <row r="205" spans="2:9" ht="12.75">
      <c r="B205" s="54"/>
      <c r="C205" s="54">
        <v>5</v>
      </c>
      <c r="D205" s="54">
        <f t="shared" si="29"/>
        <v>-0.35</v>
      </c>
      <c r="E205" s="54">
        <f t="shared" si="29"/>
        <v>4.888</v>
      </c>
      <c r="F205" s="54">
        <f t="shared" si="29"/>
        <v>-0.093</v>
      </c>
      <c r="G205" s="54">
        <f t="shared" si="30"/>
        <v>3.666</v>
      </c>
      <c r="H205" s="55" t="s">
        <v>46</v>
      </c>
      <c r="I205" s="54">
        <f t="shared" si="31"/>
        <v>3.666</v>
      </c>
    </row>
    <row r="206" spans="2:9" ht="12.75">
      <c r="B206" s="54"/>
      <c r="C206" s="54">
        <v>6</v>
      </c>
      <c r="D206" s="54">
        <f t="shared" si="29"/>
        <v>-0.485</v>
      </c>
      <c r="E206" s="54">
        <f t="shared" si="29"/>
        <v>5.937</v>
      </c>
      <c r="F206" s="54">
        <f t="shared" si="29"/>
        <v>-0.118</v>
      </c>
      <c r="G206" s="54">
        <f t="shared" si="30"/>
        <v>4.453</v>
      </c>
      <c r="H206" s="55" t="s">
        <v>46</v>
      </c>
      <c r="I206" s="54">
        <f t="shared" si="31"/>
        <v>4.453</v>
      </c>
    </row>
    <row r="207" spans="2:9" ht="12.75">
      <c r="B207" s="54"/>
      <c r="C207" s="54">
        <v>7</v>
      </c>
      <c r="D207" s="54">
        <f t="shared" si="29"/>
        <v>-0.215</v>
      </c>
      <c r="E207" s="54">
        <f t="shared" si="29"/>
        <v>3.837</v>
      </c>
      <c r="F207" s="54">
        <f t="shared" si="29"/>
        <v>-0.069</v>
      </c>
      <c r="G207" s="54">
        <f t="shared" si="30"/>
        <v>2.8779999999999997</v>
      </c>
      <c r="H207" s="55" t="s">
        <v>46</v>
      </c>
      <c r="I207" s="54">
        <f t="shared" si="31"/>
        <v>2.8779999999999997</v>
      </c>
    </row>
    <row r="208" spans="2:9" ht="12.75">
      <c r="B208" s="54"/>
      <c r="C208" s="54">
        <v>8</v>
      </c>
      <c r="D208" s="54">
        <f aca="true" t="shared" si="32" ref="D208:F209">F120</f>
        <v>-0.801</v>
      </c>
      <c r="E208" s="54">
        <f t="shared" si="32"/>
        <v>10.452</v>
      </c>
      <c r="F208" s="54">
        <f t="shared" si="32"/>
        <v>-0.326</v>
      </c>
      <c r="G208" s="54">
        <f t="shared" si="30"/>
        <v>7.839</v>
      </c>
      <c r="H208" s="55" t="s">
        <v>46</v>
      </c>
      <c r="I208" s="54">
        <f t="shared" si="31"/>
        <v>7.839</v>
      </c>
    </row>
    <row r="209" spans="2:9" ht="12.75">
      <c r="B209" s="54"/>
      <c r="C209" s="54">
        <v>9</v>
      </c>
      <c r="D209" s="54">
        <f t="shared" si="32"/>
        <v>0.1</v>
      </c>
      <c r="E209" s="54">
        <f t="shared" si="32"/>
        <v>-0.675</v>
      </c>
      <c r="F209" s="54">
        <f t="shared" si="32"/>
        <v>0.139</v>
      </c>
      <c r="G209" s="54">
        <f t="shared" si="30"/>
        <v>-0.507</v>
      </c>
      <c r="H209" s="55" t="s">
        <v>46</v>
      </c>
      <c r="I209" s="54">
        <f t="shared" si="31"/>
        <v>-0.507</v>
      </c>
    </row>
    <row r="210" spans="2:9" ht="12.75">
      <c r="B210" s="54"/>
      <c r="C210" s="54"/>
      <c r="D210" s="54"/>
      <c r="E210" s="54"/>
      <c r="F210" s="54"/>
      <c r="G210" s="54"/>
      <c r="H210" s="55"/>
      <c r="I210" s="54"/>
    </row>
    <row r="211" spans="2:9" ht="12.75">
      <c r="B211" s="48"/>
      <c r="C211" s="48"/>
      <c r="D211" s="48"/>
      <c r="E211" s="48"/>
      <c r="F211" s="48"/>
      <c r="G211" s="48"/>
      <c r="H211" s="48"/>
      <c r="I211" s="48"/>
    </row>
    <row r="213" ht="12.75">
      <c r="B213" s="2" t="s">
        <v>47</v>
      </c>
    </row>
    <row r="215" spans="2:11" ht="12.75">
      <c r="B215" s="56"/>
      <c r="C215" s="57"/>
      <c r="D215" s="58"/>
      <c r="E215" s="58"/>
      <c r="F215" s="59"/>
      <c r="G215" s="60"/>
      <c r="H215" s="61" t="s">
        <v>48</v>
      </c>
      <c r="I215" s="60"/>
      <c r="J215" s="60"/>
      <c r="K215" s="62"/>
    </row>
    <row r="216" spans="2:11" ht="12.75">
      <c r="B216" s="54" t="s">
        <v>37</v>
      </c>
      <c r="C216" s="54" t="s">
        <v>40</v>
      </c>
      <c r="D216" s="54" t="s">
        <v>41</v>
      </c>
      <c r="E216" s="54" t="s">
        <v>42</v>
      </c>
      <c r="F216" s="63" t="s">
        <v>49</v>
      </c>
      <c r="G216" s="56" t="s">
        <v>50</v>
      </c>
      <c r="H216" s="56" t="s">
        <v>51</v>
      </c>
      <c r="I216" s="56" t="s">
        <v>52</v>
      </c>
      <c r="J216" s="56" t="s">
        <v>53</v>
      </c>
      <c r="K216" s="56" t="s">
        <v>54</v>
      </c>
    </row>
    <row r="217" spans="2:11" ht="12.75">
      <c r="B217" s="49"/>
      <c r="C217" s="49"/>
      <c r="D217" s="49"/>
      <c r="E217" s="49"/>
      <c r="F217" s="64" t="s">
        <v>55</v>
      </c>
      <c r="G217" s="65" t="s">
        <v>56</v>
      </c>
      <c r="H217" s="65" t="s">
        <v>57</v>
      </c>
      <c r="I217" s="65" t="s">
        <v>55</v>
      </c>
      <c r="J217" s="65" t="s">
        <v>56</v>
      </c>
      <c r="K217" s="65" t="s">
        <v>58</v>
      </c>
    </row>
    <row r="218" spans="2:11" ht="12.75">
      <c r="B218" s="56">
        <v>1</v>
      </c>
      <c r="C218" s="56">
        <f aca="true" t="shared" si="33" ref="C218:F226">D171+D191+D181+D201</f>
        <v>-0.7929999999999999</v>
      </c>
      <c r="D218" s="56">
        <f t="shared" si="33"/>
        <v>6.274</v>
      </c>
      <c r="E218" s="56">
        <f t="shared" si="33"/>
        <v>0</v>
      </c>
      <c r="F218" s="56">
        <f t="shared" si="33"/>
        <v>0</v>
      </c>
      <c r="G218" s="56">
        <f>-(I67+I97+I82+I113)</f>
        <v>0</v>
      </c>
      <c r="H218" s="56">
        <f aca="true" t="shared" si="34" ref="H218:H224">SUM(F218:G218)</f>
        <v>0</v>
      </c>
      <c r="I218" s="57">
        <f aca="true" t="shared" si="35" ref="I218:I226">I171+I191+I181+I201</f>
        <v>4.390000000000001</v>
      </c>
      <c r="J218" s="57">
        <f>(K67+K97+K82+K113)</f>
        <v>1.82</v>
      </c>
      <c r="K218" s="57">
        <f aca="true" t="shared" si="36" ref="K218:K224">SUM(I218:J218)</f>
        <v>6.210000000000001</v>
      </c>
    </row>
    <row r="219" spans="2:11" ht="12.75">
      <c r="B219" s="54">
        <v>2</v>
      </c>
      <c r="C219" s="54">
        <f t="shared" si="33"/>
        <v>0.31</v>
      </c>
      <c r="D219" s="54">
        <f t="shared" si="33"/>
        <v>6.269</v>
      </c>
      <c r="E219" s="54">
        <f t="shared" si="33"/>
        <v>0</v>
      </c>
      <c r="F219" s="54">
        <f t="shared" si="33"/>
        <v>0</v>
      </c>
      <c r="G219" s="54">
        <f aca="true" t="shared" si="37" ref="G219:G226">-(I68+I98+I83+I114)</f>
        <v>-5.204170427930421E-18</v>
      </c>
      <c r="H219" s="54">
        <f t="shared" si="34"/>
        <v>-5.204170427930421E-18</v>
      </c>
      <c r="I219" s="66">
        <f t="shared" si="35"/>
        <v>-1.908</v>
      </c>
      <c r="J219" s="66">
        <f aca="true" t="shared" si="38" ref="J219:J226">(K68+K98+K83+K114)</f>
        <v>-0.7000000000000001</v>
      </c>
      <c r="K219" s="66">
        <f t="shared" si="36"/>
        <v>-2.608</v>
      </c>
    </row>
    <row r="220" spans="2:11" ht="12.75">
      <c r="B220" s="54">
        <v>3</v>
      </c>
      <c r="C220" s="54">
        <f t="shared" si="33"/>
        <v>-0.23200000000000004</v>
      </c>
      <c r="D220" s="54">
        <f t="shared" si="33"/>
        <v>6.27</v>
      </c>
      <c r="E220" s="54">
        <f t="shared" si="33"/>
        <v>-2.334</v>
      </c>
      <c r="F220" s="54">
        <f t="shared" si="33"/>
        <v>17.076999999999998</v>
      </c>
      <c r="G220" s="54">
        <f t="shared" si="37"/>
        <v>5.369999999999999</v>
      </c>
      <c r="H220" s="54">
        <f t="shared" si="34"/>
        <v>22.446999999999996</v>
      </c>
      <c r="I220" s="66">
        <f t="shared" si="35"/>
        <v>1.173</v>
      </c>
      <c r="J220" s="66">
        <f t="shared" si="38"/>
        <v>0.53</v>
      </c>
      <c r="K220" s="66">
        <f t="shared" si="36"/>
        <v>1.703</v>
      </c>
    </row>
    <row r="221" spans="2:11" ht="12.75">
      <c r="B221" s="54">
        <v>4</v>
      </c>
      <c r="C221" s="54">
        <f t="shared" si="33"/>
        <v>-0.251</v>
      </c>
      <c r="D221" s="54">
        <f t="shared" si="33"/>
        <v>6.271000000000001</v>
      </c>
      <c r="E221" s="54">
        <f t="shared" si="33"/>
        <v>2.334</v>
      </c>
      <c r="F221" s="54">
        <f t="shared" si="33"/>
        <v>-17.078</v>
      </c>
      <c r="G221" s="54">
        <f t="shared" si="37"/>
        <v>-5.359999999999999</v>
      </c>
      <c r="H221" s="54">
        <f t="shared" si="34"/>
        <v>-22.438</v>
      </c>
      <c r="I221" s="66">
        <f t="shared" si="35"/>
        <v>1.3179999999999996</v>
      </c>
      <c r="J221" s="66">
        <f t="shared" si="38"/>
        <v>0.57</v>
      </c>
      <c r="K221" s="66">
        <f t="shared" si="36"/>
        <v>1.8879999999999995</v>
      </c>
    </row>
    <row r="222" spans="2:11" ht="12.75">
      <c r="B222" s="54">
        <v>5</v>
      </c>
      <c r="C222" s="54">
        <f t="shared" si="33"/>
        <v>-1.024</v>
      </c>
      <c r="D222" s="54">
        <f t="shared" si="33"/>
        <v>8.104</v>
      </c>
      <c r="E222" s="54">
        <f t="shared" si="33"/>
        <v>-0.262</v>
      </c>
      <c r="F222" s="54">
        <f t="shared" si="33"/>
        <v>2.1419999999999995</v>
      </c>
      <c r="G222" s="54">
        <f t="shared" si="37"/>
        <v>0.59</v>
      </c>
      <c r="H222" s="54">
        <f t="shared" si="34"/>
        <v>2.7319999999999993</v>
      </c>
      <c r="I222" s="66">
        <f t="shared" si="35"/>
        <v>6.492</v>
      </c>
      <c r="J222" s="66">
        <f t="shared" si="38"/>
        <v>2.3600000000000003</v>
      </c>
      <c r="K222" s="66">
        <f t="shared" si="36"/>
        <v>8.852</v>
      </c>
    </row>
    <row r="223" spans="2:11" ht="12.75">
      <c r="B223" s="54">
        <v>6</v>
      </c>
      <c r="C223" s="54">
        <f t="shared" si="33"/>
        <v>-1.5739999999999998</v>
      </c>
      <c r="D223" s="54">
        <f t="shared" si="33"/>
        <v>8.107000000000001</v>
      </c>
      <c r="E223" s="54">
        <f t="shared" si="33"/>
        <v>-0.263</v>
      </c>
      <c r="F223" s="54">
        <f t="shared" si="33"/>
        <v>2.1420000000000003</v>
      </c>
      <c r="G223" s="54">
        <f t="shared" si="37"/>
        <v>0.6100000000000001</v>
      </c>
      <c r="H223" s="54">
        <f t="shared" si="34"/>
        <v>2.7520000000000007</v>
      </c>
      <c r="I223" s="66">
        <f t="shared" si="35"/>
        <v>9.638</v>
      </c>
      <c r="J223" s="66">
        <f t="shared" si="38"/>
        <v>3.63</v>
      </c>
      <c r="K223" s="66">
        <f t="shared" si="36"/>
        <v>13.268</v>
      </c>
    </row>
    <row r="224" spans="2:11" s="67" customFormat="1" ht="12.75">
      <c r="B224" s="68">
        <v>7</v>
      </c>
      <c r="C224" s="68">
        <f t="shared" si="33"/>
        <v>-0.472</v>
      </c>
      <c r="D224" s="68">
        <f t="shared" si="33"/>
        <v>8.102</v>
      </c>
      <c r="E224" s="68">
        <f t="shared" si="33"/>
        <v>-0.263</v>
      </c>
      <c r="F224" s="68">
        <f t="shared" si="33"/>
        <v>2.1419999999999995</v>
      </c>
      <c r="G224" s="54">
        <f t="shared" si="37"/>
        <v>0.6100000000000001</v>
      </c>
      <c r="H224" s="68">
        <f t="shared" si="34"/>
        <v>2.752</v>
      </c>
      <c r="I224" s="69">
        <f t="shared" si="35"/>
        <v>3.34</v>
      </c>
      <c r="J224" s="66">
        <f t="shared" si="38"/>
        <v>1.08</v>
      </c>
      <c r="K224" s="69">
        <f t="shared" si="36"/>
        <v>4.42</v>
      </c>
    </row>
    <row r="225" spans="2:11" s="67" customFormat="1" ht="12.75">
      <c r="B225" s="68">
        <v>8</v>
      </c>
      <c r="C225" s="68">
        <f t="shared" si="33"/>
        <v>-1.016</v>
      </c>
      <c r="D225" s="68">
        <f t="shared" si="33"/>
        <v>8.105</v>
      </c>
      <c r="E225" s="68">
        <f t="shared" si="33"/>
        <v>-2.597</v>
      </c>
      <c r="F225" s="68">
        <f t="shared" si="33"/>
        <v>19.219</v>
      </c>
      <c r="G225" s="54">
        <f t="shared" si="37"/>
        <v>5.97</v>
      </c>
      <c r="H225" s="68">
        <f>SUM(F225:G225)</f>
        <v>25.189</v>
      </c>
      <c r="I225" s="69">
        <f t="shared" si="35"/>
        <v>6.4190000000000005</v>
      </c>
      <c r="J225" s="66">
        <f t="shared" si="38"/>
        <v>2.34</v>
      </c>
      <c r="K225" s="69">
        <f>SUM(I225:J225)</f>
        <v>8.759</v>
      </c>
    </row>
    <row r="226" spans="2:11" s="67" customFormat="1" ht="12.75">
      <c r="B226" s="68">
        <v>9</v>
      </c>
      <c r="C226" s="68">
        <f t="shared" si="33"/>
        <v>-1.033</v>
      </c>
      <c r="D226" s="68">
        <f t="shared" si="33"/>
        <v>8.105</v>
      </c>
      <c r="E226" s="68">
        <f t="shared" si="33"/>
        <v>2.072</v>
      </c>
      <c r="F226" s="68">
        <f t="shared" si="33"/>
        <v>-14.936</v>
      </c>
      <c r="G226" s="54">
        <f t="shared" si="37"/>
        <v>-4.76</v>
      </c>
      <c r="H226" s="68">
        <f>SUM(F226:G226)</f>
        <v>-19.695999999999998</v>
      </c>
      <c r="I226" s="69">
        <f t="shared" si="35"/>
        <v>6.566000000000001</v>
      </c>
      <c r="J226" s="66">
        <f t="shared" si="38"/>
        <v>2.37</v>
      </c>
      <c r="K226" s="69">
        <f>SUM(I226:J226)</f>
        <v>8.936</v>
      </c>
    </row>
    <row r="227" spans="2:11" ht="12.75">
      <c r="B227" s="48"/>
      <c r="C227" s="49"/>
      <c r="D227" s="49"/>
      <c r="E227" s="49"/>
      <c r="F227" s="49"/>
      <c r="G227" s="49"/>
      <c r="H227" s="49"/>
      <c r="I227" s="49"/>
      <c r="J227" s="49"/>
      <c r="K227" s="48"/>
    </row>
    <row r="228" spans="3:10" ht="13.5" customHeight="1"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2" t="s">
        <v>59</v>
      </c>
      <c r="B229" s="2"/>
      <c r="C229" s="8"/>
      <c r="D229" s="8"/>
      <c r="E229" s="8"/>
      <c r="F229" s="8"/>
      <c r="G229" s="8"/>
      <c r="H229" s="8"/>
      <c r="I229" s="8"/>
      <c r="J229" s="8"/>
    </row>
    <row r="230" spans="2:10" ht="12.75">
      <c r="B230" s="21" t="s">
        <v>60</v>
      </c>
      <c r="C230" s="13"/>
      <c r="D230" s="13"/>
      <c r="E230" s="13"/>
      <c r="F230" s="13"/>
      <c r="G230" s="13"/>
      <c r="H230" s="13"/>
      <c r="I230" s="13"/>
      <c r="J230" s="13"/>
    </row>
    <row r="231" spans="2:10" ht="12.75">
      <c r="B231" s="13"/>
      <c r="C231" s="21" t="s">
        <v>61</v>
      </c>
      <c r="D231" s="13"/>
      <c r="E231" s="13"/>
      <c r="F231" s="13"/>
      <c r="G231" s="13"/>
      <c r="H231" s="13"/>
      <c r="I231" s="13"/>
      <c r="J231" s="13"/>
    </row>
    <row r="232" spans="2:10" ht="12.75">
      <c r="B232" s="13"/>
      <c r="C232" s="21" t="s">
        <v>62</v>
      </c>
      <c r="D232" s="13"/>
      <c r="E232" s="13"/>
      <c r="F232" s="13"/>
      <c r="G232" s="13"/>
      <c r="H232" s="13"/>
      <c r="I232" s="13"/>
      <c r="J232" s="13"/>
    </row>
    <row r="233" spans="2:10" ht="12.75">
      <c r="B233" s="3"/>
      <c r="C233" s="8"/>
      <c r="E233" s="8"/>
      <c r="F233" s="8"/>
      <c r="G233" s="8"/>
      <c r="H233" s="8"/>
      <c r="I233" s="8"/>
      <c r="J233" s="8"/>
    </row>
    <row r="234" spans="2:10" ht="12.75">
      <c r="B234" s="21" t="s">
        <v>63</v>
      </c>
      <c r="C234" s="8"/>
      <c r="D234" s="8"/>
      <c r="E234" s="8"/>
      <c r="F234" s="8"/>
      <c r="G234" s="8"/>
      <c r="H234" s="8"/>
      <c r="I234" s="8"/>
      <c r="J234" s="8"/>
    </row>
    <row r="235" spans="3:10" ht="12.75">
      <c r="C235" s="8"/>
      <c r="D235" s="8"/>
      <c r="E235" s="8"/>
      <c r="F235" s="8"/>
      <c r="G235" s="8"/>
      <c r="H235" s="8"/>
      <c r="I235" s="8"/>
      <c r="J235" s="8"/>
    </row>
    <row r="236" spans="2:11" ht="12.75">
      <c r="B236" s="70"/>
      <c r="C236" s="71" t="s">
        <v>64</v>
      </c>
      <c r="D236" s="72"/>
      <c r="E236" s="72"/>
      <c r="F236" s="73" t="s">
        <v>65</v>
      </c>
      <c r="G236" s="74"/>
      <c r="H236" s="74"/>
      <c r="I236" s="75"/>
      <c r="J236" s="70"/>
      <c r="K236" s="70"/>
    </row>
    <row r="237" spans="2:11" ht="12.75">
      <c r="B237" s="76" t="s">
        <v>66</v>
      </c>
      <c r="C237" s="77" t="s">
        <v>67</v>
      </c>
      <c r="D237" s="78" t="s">
        <v>68</v>
      </c>
      <c r="E237" s="77" t="s">
        <v>69</v>
      </c>
      <c r="F237" s="77" t="s">
        <v>56</v>
      </c>
      <c r="G237" s="79" t="s">
        <v>70</v>
      </c>
      <c r="H237" s="80" t="s">
        <v>71</v>
      </c>
      <c r="I237" s="147" t="s">
        <v>72</v>
      </c>
      <c r="J237" s="76" t="s">
        <v>73</v>
      </c>
      <c r="K237" s="76" t="s">
        <v>74</v>
      </c>
    </row>
    <row r="238" spans="2:11" ht="12.75">
      <c r="B238" s="81"/>
      <c r="C238" s="76"/>
      <c r="D238" s="82"/>
      <c r="E238" s="76"/>
      <c r="F238" s="76" t="s">
        <v>75</v>
      </c>
      <c r="G238" s="81" t="s">
        <v>76</v>
      </c>
      <c r="H238" s="80" t="s">
        <v>75</v>
      </c>
      <c r="I238" s="147"/>
      <c r="J238" s="76"/>
      <c r="K238" s="76"/>
    </row>
    <row r="239" spans="2:11" ht="12.75">
      <c r="B239" s="83"/>
      <c r="C239" s="84"/>
      <c r="D239" s="85"/>
      <c r="E239" s="84"/>
      <c r="F239" s="84">
        <v>1</v>
      </c>
      <c r="G239" s="84">
        <v>2</v>
      </c>
      <c r="H239" s="86" t="s">
        <v>77</v>
      </c>
      <c r="I239" s="87"/>
      <c r="J239" s="84"/>
      <c r="K239" s="84"/>
    </row>
    <row r="240" spans="2:11" ht="12.75">
      <c r="B240" s="47">
        <v>1</v>
      </c>
      <c r="C240" s="47">
        <f aca="true" t="shared" si="39" ref="C240:C248">C218</f>
        <v>-0.7929999999999999</v>
      </c>
      <c r="D240" s="20">
        <f aca="true" t="shared" si="40" ref="D240:D246">E218</f>
        <v>0</v>
      </c>
      <c r="E240" s="47">
        <f aca="true" t="shared" si="41" ref="E240:E246">ROUND(SQRT(C240^2+D240^2),2)</f>
        <v>0.79</v>
      </c>
      <c r="F240" s="47">
        <f aca="true" t="shared" si="42" ref="F240:F246">ROUND(D218,3)</f>
        <v>6.274</v>
      </c>
      <c r="G240" s="70">
        <f aca="true" t="shared" si="43" ref="G240:G248">$D$62</f>
        <v>23.79</v>
      </c>
      <c r="H240" s="20">
        <f aca="true" t="shared" si="44" ref="H240:H246">F240+G240</f>
        <v>30.064</v>
      </c>
      <c r="I240" s="47">
        <f aca="true" t="shared" si="45" ref="I240:I248">ROUNDUP($D$35*H240,2)</f>
        <v>15.04</v>
      </c>
      <c r="J240" s="47">
        <f aca="true" t="shared" si="46" ref="J240:J246">ROUND(I240/E240,2)</f>
        <v>19.04</v>
      </c>
      <c r="K240" s="47" t="str">
        <f>IF(J240&gt;=1.5," Safe","Unsafe")</f>
        <v> Safe</v>
      </c>
    </row>
    <row r="241" spans="2:11" ht="12.75">
      <c r="B241" s="47">
        <v>2</v>
      </c>
      <c r="C241" s="47">
        <f t="shared" si="39"/>
        <v>0.31</v>
      </c>
      <c r="D241" s="20">
        <f t="shared" si="40"/>
        <v>0</v>
      </c>
      <c r="E241" s="47">
        <f t="shared" si="41"/>
        <v>0.31</v>
      </c>
      <c r="F241" s="47">
        <f t="shared" si="42"/>
        <v>6.269</v>
      </c>
      <c r="G241" s="76">
        <f t="shared" si="43"/>
        <v>23.79</v>
      </c>
      <c r="H241" s="20">
        <f t="shared" si="44"/>
        <v>30.058999999999997</v>
      </c>
      <c r="I241" s="47">
        <f t="shared" si="45"/>
        <v>15.03</v>
      </c>
      <c r="J241" s="47">
        <f t="shared" si="46"/>
        <v>48.48</v>
      </c>
      <c r="K241" s="47" t="str">
        <f>IF(J241&gt;=1.5," Safe","Unsafe")</f>
        <v> Safe</v>
      </c>
    </row>
    <row r="242" spans="2:11" ht="12.75">
      <c r="B242" s="47">
        <v>3</v>
      </c>
      <c r="C242" s="47">
        <f t="shared" si="39"/>
        <v>-0.23200000000000004</v>
      </c>
      <c r="D242" s="20">
        <f t="shared" si="40"/>
        <v>-2.334</v>
      </c>
      <c r="E242" s="47">
        <f t="shared" si="41"/>
        <v>2.35</v>
      </c>
      <c r="F242" s="47">
        <f t="shared" si="42"/>
        <v>6.27</v>
      </c>
      <c r="G242" s="76">
        <f t="shared" si="43"/>
        <v>23.79</v>
      </c>
      <c r="H242" s="20">
        <f t="shared" si="44"/>
        <v>30.06</v>
      </c>
      <c r="I242" s="47">
        <f t="shared" si="45"/>
        <v>15.03</v>
      </c>
      <c r="J242" s="47">
        <f t="shared" si="46"/>
        <v>6.4</v>
      </c>
      <c r="K242" s="47" t="str">
        <f>IF(J242&gt;=1.5," Safe","Unsafe")</f>
        <v> Safe</v>
      </c>
    </row>
    <row r="243" spans="2:11" ht="12.75">
      <c r="B243" s="47">
        <v>4</v>
      </c>
      <c r="C243" s="47">
        <f t="shared" si="39"/>
        <v>-0.251</v>
      </c>
      <c r="D243" s="20">
        <f t="shared" si="40"/>
        <v>2.334</v>
      </c>
      <c r="E243" s="47">
        <f t="shared" si="41"/>
        <v>2.35</v>
      </c>
      <c r="F243" s="47">
        <f t="shared" si="42"/>
        <v>6.271</v>
      </c>
      <c r="G243" s="76">
        <f t="shared" si="43"/>
        <v>23.79</v>
      </c>
      <c r="H243" s="20">
        <f t="shared" si="44"/>
        <v>30.061</v>
      </c>
      <c r="I243" s="47">
        <f t="shared" si="45"/>
        <v>15.04</v>
      </c>
      <c r="J243" s="47">
        <f t="shared" si="46"/>
        <v>6.4</v>
      </c>
      <c r="K243" s="47" t="str">
        <f>IF(J243&gt;=1.5," Safe","Unsafe")</f>
        <v> Safe</v>
      </c>
    </row>
    <row r="244" spans="2:11" ht="12.75">
      <c r="B244" s="47">
        <v>5</v>
      </c>
      <c r="C244" s="47">
        <f t="shared" si="39"/>
        <v>-1.024</v>
      </c>
      <c r="D244" s="20">
        <f t="shared" si="40"/>
        <v>-0.262</v>
      </c>
      <c r="E244" s="47">
        <f t="shared" si="41"/>
        <v>1.06</v>
      </c>
      <c r="F244" s="47">
        <f t="shared" si="42"/>
        <v>8.104</v>
      </c>
      <c r="G244" s="76">
        <f t="shared" si="43"/>
        <v>23.79</v>
      </c>
      <c r="H244" s="20">
        <f t="shared" si="44"/>
        <v>31.894</v>
      </c>
      <c r="I244" s="47">
        <f t="shared" si="45"/>
        <v>15.95</v>
      </c>
      <c r="J244" s="47">
        <f t="shared" si="46"/>
        <v>15.05</v>
      </c>
      <c r="K244" s="47" t="str">
        <f>IF(E244=0,"Safe",IF(J244&gt;=1.5," Safe","Unsafe"))</f>
        <v> Safe</v>
      </c>
    </row>
    <row r="245" spans="2:11" ht="12.75">
      <c r="B245" s="47">
        <v>6</v>
      </c>
      <c r="C245" s="47">
        <f t="shared" si="39"/>
        <v>-1.5739999999999998</v>
      </c>
      <c r="D245" s="20">
        <f t="shared" si="40"/>
        <v>-0.263</v>
      </c>
      <c r="E245" s="47">
        <f t="shared" si="41"/>
        <v>1.6</v>
      </c>
      <c r="F245" s="47">
        <f t="shared" si="42"/>
        <v>8.107</v>
      </c>
      <c r="G245" s="76">
        <f t="shared" si="43"/>
        <v>23.79</v>
      </c>
      <c r="H245" s="20">
        <f t="shared" si="44"/>
        <v>31.897</v>
      </c>
      <c r="I245" s="47">
        <f t="shared" si="45"/>
        <v>15.95</v>
      </c>
      <c r="J245" s="47">
        <f t="shared" si="46"/>
        <v>9.97</v>
      </c>
      <c r="K245" s="47" t="str">
        <f>IF(J245&gt;=1.5," Safe","Unsafe")</f>
        <v> Safe</v>
      </c>
    </row>
    <row r="246" spans="2:11" ht="12.75">
      <c r="B246" s="47">
        <v>7</v>
      </c>
      <c r="C246" s="47">
        <f t="shared" si="39"/>
        <v>-0.472</v>
      </c>
      <c r="D246" s="20">
        <f t="shared" si="40"/>
        <v>-0.263</v>
      </c>
      <c r="E246" s="47">
        <f t="shared" si="41"/>
        <v>0.54</v>
      </c>
      <c r="F246" s="47">
        <f t="shared" si="42"/>
        <v>8.102</v>
      </c>
      <c r="G246" s="76">
        <f t="shared" si="43"/>
        <v>23.79</v>
      </c>
      <c r="H246" s="20">
        <f t="shared" si="44"/>
        <v>31.892</v>
      </c>
      <c r="I246" s="47">
        <f t="shared" si="45"/>
        <v>15.95</v>
      </c>
      <c r="J246" s="47">
        <f t="shared" si="46"/>
        <v>29.54</v>
      </c>
      <c r="K246" s="47" t="str">
        <f>IF(J246&gt;=1.5," Safe","Unsafe")</f>
        <v> Safe</v>
      </c>
    </row>
    <row r="247" spans="2:11" ht="12.75">
      <c r="B247" s="47">
        <v>8</v>
      </c>
      <c r="C247" s="47">
        <f t="shared" si="39"/>
        <v>-1.016</v>
      </c>
      <c r="D247" s="20">
        <f>E225</f>
        <v>-2.597</v>
      </c>
      <c r="E247" s="47">
        <f>ROUND(SQRT(C247^2+D247^2),2)</f>
        <v>2.79</v>
      </c>
      <c r="F247" s="47">
        <f>ROUND(D225,3)</f>
        <v>8.105</v>
      </c>
      <c r="G247" s="76">
        <f t="shared" si="43"/>
        <v>23.79</v>
      </c>
      <c r="H247" s="20">
        <f>F247+G247</f>
        <v>31.895</v>
      </c>
      <c r="I247" s="47">
        <f t="shared" si="45"/>
        <v>15.95</v>
      </c>
      <c r="J247" s="47">
        <f>ROUND(I247/E247,2)</f>
        <v>5.72</v>
      </c>
      <c r="K247" s="47" t="str">
        <f>IF(J247&gt;=1.5," Safe","Unsafe")</f>
        <v> Safe</v>
      </c>
    </row>
    <row r="248" spans="2:11" ht="12.75">
      <c r="B248" s="47">
        <v>9</v>
      </c>
      <c r="C248" s="47">
        <f t="shared" si="39"/>
        <v>-1.033</v>
      </c>
      <c r="D248" s="20">
        <f>E226</f>
        <v>2.072</v>
      </c>
      <c r="E248" s="47">
        <f>ROUND(SQRT(C248^2+D248^2),2)</f>
        <v>2.32</v>
      </c>
      <c r="F248" s="47">
        <f>ROUND(D226,3)</f>
        <v>8.105</v>
      </c>
      <c r="G248" s="76">
        <f t="shared" si="43"/>
        <v>23.79</v>
      </c>
      <c r="H248" s="20">
        <f>F248+G248</f>
        <v>31.895</v>
      </c>
      <c r="I248" s="47">
        <f t="shared" si="45"/>
        <v>15.95</v>
      </c>
      <c r="J248" s="47">
        <f>ROUND(I248/E248,2)</f>
        <v>6.88</v>
      </c>
      <c r="K248" s="47" t="str">
        <f>IF(J248&gt;=1.5," Safe","Unsafe")</f>
        <v> Safe</v>
      </c>
    </row>
    <row r="249" spans="2:11" ht="12.75">
      <c r="B249" s="88"/>
      <c r="C249" s="88"/>
      <c r="D249" s="89"/>
      <c r="E249" s="88"/>
      <c r="F249" s="88"/>
      <c r="G249" s="83"/>
      <c r="H249" s="83"/>
      <c r="I249" s="88"/>
      <c r="J249" s="88"/>
      <c r="K249" s="83"/>
    </row>
    <row r="250" spans="3:10" ht="12.75"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2" t="s">
        <v>78</v>
      </c>
      <c r="C251" s="8"/>
      <c r="D251" s="8"/>
      <c r="E251" s="8"/>
      <c r="F251" s="8"/>
      <c r="G251" s="8"/>
      <c r="H251" s="8"/>
      <c r="I251" s="8"/>
      <c r="J251" s="8"/>
    </row>
    <row r="252" spans="3:10" ht="12.75"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21" t="s">
        <v>79</v>
      </c>
      <c r="C253" s="8"/>
      <c r="D253" s="8"/>
      <c r="E253" s="8"/>
      <c r="F253" s="8"/>
      <c r="G253" s="8"/>
      <c r="H253" s="8"/>
      <c r="I253" s="8"/>
      <c r="J253" s="8"/>
    </row>
    <row r="254" spans="3:10" ht="12.75">
      <c r="C254" s="8"/>
      <c r="D254" s="8"/>
      <c r="E254" s="8"/>
      <c r="F254" s="8"/>
      <c r="G254" s="8"/>
      <c r="H254" s="8"/>
      <c r="I254" s="8"/>
      <c r="J254" s="8"/>
    </row>
    <row r="255" spans="1:13" ht="12.75">
      <c r="A255" s="57" t="s">
        <v>75</v>
      </c>
      <c r="B255" s="57" t="s">
        <v>80</v>
      </c>
      <c r="C255" s="56" t="s">
        <v>81</v>
      </c>
      <c r="D255" s="56" t="s">
        <v>82</v>
      </c>
      <c r="E255" s="56" t="s">
        <v>51</v>
      </c>
      <c r="F255" s="56" t="s">
        <v>54</v>
      </c>
      <c r="G255" s="56" t="s">
        <v>83</v>
      </c>
      <c r="H255" s="56" t="s">
        <v>84</v>
      </c>
      <c r="I255" s="56" t="s">
        <v>85</v>
      </c>
      <c r="J255" s="56" t="s">
        <v>86</v>
      </c>
      <c r="K255" s="56" t="s">
        <v>87</v>
      </c>
      <c r="L255" s="56" t="s">
        <v>88</v>
      </c>
      <c r="M255" s="90" t="s">
        <v>89</v>
      </c>
    </row>
    <row r="256" spans="1:13" ht="12.75">
      <c r="A256" s="48"/>
      <c r="B256" s="48" t="s">
        <v>75</v>
      </c>
      <c r="C256" s="91" t="s">
        <v>90</v>
      </c>
      <c r="D256" s="49"/>
      <c r="E256" s="49"/>
      <c r="F256" s="49"/>
      <c r="G256" s="49">
        <v>1</v>
      </c>
      <c r="H256" s="49">
        <v>2</v>
      </c>
      <c r="I256" s="49">
        <v>3</v>
      </c>
      <c r="J256" s="49"/>
      <c r="K256" s="48"/>
      <c r="L256" s="48"/>
      <c r="M256" s="48"/>
    </row>
    <row r="257" spans="1:13" ht="12.75">
      <c r="A257" s="57">
        <v>1</v>
      </c>
      <c r="B257" s="57">
        <f aca="true" t="shared" si="47" ref="B257:B263">D218</f>
        <v>6.274</v>
      </c>
      <c r="C257" s="56">
        <f aca="true" t="shared" si="48" ref="C257:C265">$D$62</f>
        <v>23.79</v>
      </c>
      <c r="D257" s="56">
        <f aca="true" t="shared" si="49" ref="D257:D263">B257+C257</f>
        <v>30.064</v>
      </c>
      <c r="E257" s="56">
        <f aca="true" t="shared" si="50" ref="E257:E263">H218</f>
        <v>0</v>
      </c>
      <c r="F257" s="56">
        <f aca="true" t="shared" si="51" ref="F257:F263">K218</f>
        <v>6.210000000000001</v>
      </c>
      <c r="G257" s="56">
        <f aca="true" t="shared" si="52" ref="G257:G263">ROUND(D257/($F$3*$L$11),2)</f>
        <v>2.78</v>
      </c>
      <c r="H257" s="56">
        <f aca="true" t="shared" si="53" ref="H257:H263">ROUND(ABS(E257)*6/($F$3*$L$11^2),2)</f>
        <v>0</v>
      </c>
      <c r="I257" s="56">
        <f aca="true" t="shared" si="54" ref="I257:I263">ROUND(ABS(F257)*6/($L$11*$F$3^2),2)</f>
        <v>1.15</v>
      </c>
      <c r="J257" s="56">
        <f aca="true" t="shared" si="55" ref="J257:J263">G257+H257-I257</f>
        <v>1.63</v>
      </c>
      <c r="K257" s="57">
        <f aca="true" t="shared" si="56" ref="K257:K263">G257+H257+I257</f>
        <v>3.9299999999999997</v>
      </c>
      <c r="L257" s="57">
        <f aca="true" t="shared" si="57" ref="L257:L263">G257-H257+I257</f>
        <v>3.9299999999999997</v>
      </c>
      <c r="M257" s="57">
        <f aca="true" t="shared" si="58" ref="M257:M263">G257-H257-I257</f>
        <v>1.63</v>
      </c>
    </row>
    <row r="258" spans="1:13" ht="12.75">
      <c r="A258" s="66">
        <v>2</v>
      </c>
      <c r="B258" s="66">
        <f t="shared" si="47"/>
        <v>6.269</v>
      </c>
      <c r="C258" s="54">
        <f t="shared" si="48"/>
        <v>23.79</v>
      </c>
      <c r="D258" s="54">
        <f t="shared" si="49"/>
        <v>30.058999999999997</v>
      </c>
      <c r="E258" s="54">
        <f t="shared" si="50"/>
        <v>-5.204170427930421E-18</v>
      </c>
      <c r="F258" s="54">
        <f t="shared" si="51"/>
        <v>-2.608</v>
      </c>
      <c r="G258" s="54">
        <f t="shared" si="52"/>
        <v>2.78</v>
      </c>
      <c r="H258" s="54">
        <f t="shared" si="53"/>
        <v>0</v>
      </c>
      <c r="I258" s="54">
        <f t="shared" si="54"/>
        <v>0.48</v>
      </c>
      <c r="J258" s="54">
        <f t="shared" si="55"/>
        <v>2.3</v>
      </c>
      <c r="K258" s="66">
        <f t="shared" si="56"/>
        <v>3.26</v>
      </c>
      <c r="L258" s="66">
        <f t="shared" si="57"/>
        <v>3.26</v>
      </c>
      <c r="M258" s="66">
        <f t="shared" si="58"/>
        <v>2.3</v>
      </c>
    </row>
    <row r="259" spans="1:13" ht="12.75">
      <c r="A259" s="66">
        <v>3</v>
      </c>
      <c r="B259" s="66">
        <f t="shared" si="47"/>
        <v>6.27</v>
      </c>
      <c r="C259" s="54">
        <f t="shared" si="48"/>
        <v>23.79</v>
      </c>
      <c r="D259" s="54">
        <f t="shared" si="49"/>
        <v>30.06</v>
      </c>
      <c r="E259" s="54">
        <f t="shared" si="50"/>
        <v>22.446999999999996</v>
      </c>
      <c r="F259" s="54">
        <f t="shared" si="51"/>
        <v>1.703</v>
      </c>
      <c r="G259" s="54">
        <f t="shared" si="52"/>
        <v>2.78</v>
      </c>
      <c r="H259" s="54">
        <f t="shared" si="53"/>
        <v>3.46</v>
      </c>
      <c r="I259" s="54">
        <f t="shared" si="54"/>
        <v>0.32</v>
      </c>
      <c r="J259" s="54">
        <f t="shared" si="55"/>
        <v>5.92</v>
      </c>
      <c r="K259" s="66">
        <f t="shared" si="56"/>
        <v>6.5600000000000005</v>
      </c>
      <c r="L259" s="66">
        <f t="shared" si="57"/>
        <v>-0.36000000000000015</v>
      </c>
      <c r="M259" s="66">
        <f t="shared" si="58"/>
        <v>-1.0000000000000002</v>
      </c>
    </row>
    <row r="260" spans="1:13" s="67" customFormat="1" ht="12.75">
      <c r="A260" s="69">
        <v>4</v>
      </c>
      <c r="B260" s="69">
        <f t="shared" si="47"/>
        <v>6.271000000000001</v>
      </c>
      <c r="C260" s="68">
        <f t="shared" si="48"/>
        <v>23.79</v>
      </c>
      <c r="D260" s="68">
        <f t="shared" si="49"/>
        <v>30.061</v>
      </c>
      <c r="E260" s="68">
        <f t="shared" si="50"/>
        <v>-22.438</v>
      </c>
      <c r="F260" s="68">
        <f t="shared" si="51"/>
        <v>1.8879999999999995</v>
      </c>
      <c r="G260" s="68">
        <f t="shared" si="52"/>
        <v>2.78</v>
      </c>
      <c r="H260" s="68">
        <f t="shared" si="53"/>
        <v>3.46</v>
      </c>
      <c r="I260" s="68">
        <f t="shared" si="54"/>
        <v>0.35</v>
      </c>
      <c r="J260" s="68">
        <f t="shared" si="55"/>
        <v>5.890000000000001</v>
      </c>
      <c r="K260" s="69">
        <f t="shared" si="56"/>
        <v>6.59</v>
      </c>
      <c r="L260" s="69">
        <f t="shared" si="57"/>
        <v>-0.3300000000000002</v>
      </c>
      <c r="M260" s="69">
        <f t="shared" si="58"/>
        <v>-1.0300000000000002</v>
      </c>
    </row>
    <row r="261" spans="1:13" ht="12.75">
      <c r="A261" s="66">
        <v>5</v>
      </c>
      <c r="B261" s="66">
        <f t="shared" si="47"/>
        <v>8.104</v>
      </c>
      <c r="C261" s="54">
        <f t="shared" si="48"/>
        <v>23.79</v>
      </c>
      <c r="D261" s="54">
        <f t="shared" si="49"/>
        <v>31.894</v>
      </c>
      <c r="E261" s="54">
        <f t="shared" si="50"/>
        <v>2.7319999999999993</v>
      </c>
      <c r="F261" s="54">
        <f t="shared" si="51"/>
        <v>8.852</v>
      </c>
      <c r="G261" s="54">
        <f t="shared" si="52"/>
        <v>2.95</v>
      </c>
      <c r="H261" s="54">
        <f t="shared" si="53"/>
        <v>0.42</v>
      </c>
      <c r="I261" s="54">
        <f t="shared" si="54"/>
        <v>1.64</v>
      </c>
      <c r="J261" s="54">
        <f t="shared" si="55"/>
        <v>1.7300000000000002</v>
      </c>
      <c r="K261" s="66">
        <f t="shared" si="56"/>
        <v>5.01</v>
      </c>
      <c r="L261" s="66">
        <f t="shared" si="57"/>
        <v>4.17</v>
      </c>
      <c r="M261" s="66">
        <f t="shared" si="58"/>
        <v>0.8900000000000003</v>
      </c>
    </row>
    <row r="262" spans="1:13" ht="12.75">
      <c r="A262" s="66">
        <v>6</v>
      </c>
      <c r="B262" s="66">
        <f t="shared" si="47"/>
        <v>8.107000000000001</v>
      </c>
      <c r="C262" s="54">
        <f t="shared" si="48"/>
        <v>23.79</v>
      </c>
      <c r="D262" s="54">
        <f t="shared" si="49"/>
        <v>31.897</v>
      </c>
      <c r="E262" s="54">
        <f t="shared" si="50"/>
        <v>2.7520000000000007</v>
      </c>
      <c r="F262" s="54">
        <f t="shared" si="51"/>
        <v>13.268</v>
      </c>
      <c r="G262" s="54">
        <f t="shared" si="52"/>
        <v>2.95</v>
      </c>
      <c r="H262" s="54">
        <f t="shared" si="53"/>
        <v>0.42</v>
      </c>
      <c r="I262" s="54">
        <f t="shared" si="54"/>
        <v>2.46</v>
      </c>
      <c r="J262" s="54">
        <f t="shared" si="55"/>
        <v>0.9100000000000001</v>
      </c>
      <c r="K262" s="66">
        <f t="shared" si="56"/>
        <v>5.83</v>
      </c>
      <c r="L262" s="66">
        <f t="shared" si="57"/>
        <v>4.99</v>
      </c>
      <c r="M262" s="66">
        <f t="shared" si="58"/>
        <v>0.07000000000000028</v>
      </c>
    </row>
    <row r="263" spans="1:13" s="67" customFormat="1" ht="12.75">
      <c r="A263" s="69">
        <v>7</v>
      </c>
      <c r="B263" s="69">
        <f t="shared" si="47"/>
        <v>8.102</v>
      </c>
      <c r="C263" s="68">
        <f t="shared" si="48"/>
        <v>23.79</v>
      </c>
      <c r="D263" s="68">
        <f t="shared" si="49"/>
        <v>31.892</v>
      </c>
      <c r="E263" s="68">
        <f t="shared" si="50"/>
        <v>2.752</v>
      </c>
      <c r="F263" s="68">
        <f t="shared" si="51"/>
        <v>4.42</v>
      </c>
      <c r="G263" s="68">
        <f t="shared" si="52"/>
        <v>2.95</v>
      </c>
      <c r="H263" s="68">
        <f t="shared" si="53"/>
        <v>0.42</v>
      </c>
      <c r="I263" s="68">
        <f t="shared" si="54"/>
        <v>0.82</v>
      </c>
      <c r="J263" s="68">
        <f t="shared" si="55"/>
        <v>2.5500000000000003</v>
      </c>
      <c r="K263" s="69">
        <f t="shared" si="56"/>
        <v>4.19</v>
      </c>
      <c r="L263" s="69">
        <f t="shared" si="57"/>
        <v>3.35</v>
      </c>
      <c r="M263" s="69">
        <f t="shared" si="58"/>
        <v>1.7100000000000004</v>
      </c>
    </row>
    <row r="264" spans="1:13" s="67" customFormat="1" ht="12.75">
      <c r="A264" s="69">
        <v>8</v>
      </c>
      <c r="B264" s="69">
        <f>D225</f>
        <v>8.105</v>
      </c>
      <c r="C264" s="68">
        <f t="shared" si="48"/>
        <v>23.79</v>
      </c>
      <c r="D264" s="68">
        <f>B264+C264</f>
        <v>31.895</v>
      </c>
      <c r="E264" s="68">
        <f>H225</f>
        <v>25.189</v>
      </c>
      <c r="F264" s="68">
        <f>K225</f>
        <v>8.759</v>
      </c>
      <c r="G264" s="68">
        <f>ROUND(D264/($F$3*$L$11),2)</f>
        <v>2.95</v>
      </c>
      <c r="H264" s="68">
        <f>ROUND(ABS(E264)*6/($F$3*$L$11^2),2)</f>
        <v>3.89</v>
      </c>
      <c r="I264" s="68">
        <f>ROUND(ABS(F264)*6/($L$11*$F$3^2),2)</f>
        <v>1.62</v>
      </c>
      <c r="J264" s="68">
        <f>G264+H264-I264</f>
        <v>5.22</v>
      </c>
      <c r="K264" s="69">
        <f>G264+H264+I264</f>
        <v>8.46</v>
      </c>
      <c r="L264" s="69">
        <f>G264-H264+I264</f>
        <v>0.6800000000000002</v>
      </c>
      <c r="M264" s="69">
        <f>G264-H264-I264</f>
        <v>-2.56</v>
      </c>
    </row>
    <row r="265" spans="1:13" s="67" customFormat="1" ht="12.75">
      <c r="A265" s="69">
        <v>9</v>
      </c>
      <c r="B265" s="69">
        <f>D226</f>
        <v>8.105</v>
      </c>
      <c r="C265" s="68">
        <f t="shared" si="48"/>
        <v>23.79</v>
      </c>
      <c r="D265" s="68">
        <f>B265+C265</f>
        <v>31.895</v>
      </c>
      <c r="E265" s="68">
        <f>H226</f>
        <v>-19.695999999999998</v>
      </c>
      <c r="F265" s="68">
        <f>K226</f>
        <v>8.936</v>
      </c>
      <c r="G265" s="68">
        <f>ROUND(D265/($F$3*$L$11),2)</f>
        <v>2.95</v>
      </c>
      <c r="H265" s="68">
        <f>ROUND(ABS(E265)*6/($F$3*$L$11^2),2)</f>
        <v>3.04</v>
      </c>
      <c r="I265" s="68">
        <f>ROUND(ABS(F265)*6/($L$11*$F$3^2),2)</f>
        <v>1.65</v>
      </c>
      <c r="J265" s="68">
        <f>G265+H265-I265</f>
        <v>4.34</v>
      </c>
      <c r="K265" s="69">
        <f>G265+H265+I265</f>
        <v>7.640000000000001</v>
      </c>
      <c r="L265" s="69">
        <f>G265-H265+I265</f>
        <v>1.56</v>
      </c>
      <c r="M265" s="69">
        <f>G265-H265-I265</f>
        <v>-1.7399999999999998</v>
      </c>
    </row>
    <row r="266" spans="1:13" ht="12.75">
      <c r="A266" s="48"/>
      <c r="B266" s="48"/>
      <c r="C266" s="49"/>
      <c r="D266" s="49"/>
      <c r="E266" s="49"/>
      <c r="F266" s="49"/>
      <c r="G266" s="49"/>
      <c r="H266" s="49"/>
      <c r="I266" s="49"/>
      <c r="J266" s="49"/>
      <c r="K266" s="48"/>
      <c r="L266" s="48"/>
      <c r="M266" s="48"/>
    </row>
    <row r="268" spans="11:13" ht="12.75">
      <c r="K268" t="s">
        <v>91</v>
      </c>
      <c r="L268">
        <f>MAX(J257:M266)</f>
        <v>8.46</v>
      </c>
      <c r="M268" t="s">
        <v>92</v>
      </c>
    </row>
    <row r="269" spans="10:13" ht="12.75">
      <c r="J269" s="92"/>
      <c r="K269" t="s">
        <v>93</v>
      </c>
      <c r="L269">
        <f>MIN(J257:M266)</f>
        <v>-2.56</v>
      </c>
      <c r="M269" t="s">
        <v>92</v>
      </c>
    </row>
    <row r="271" ht="12.75">
      <c r="A271" s="21" t="s">
        <v>94</v>
      </c>
    </row>
    <row r="273" spans="1:13" ht="12.75">
      <c r="A273" s="57" t="s">
        <v>75</v>
      </c>
      <c r="B273" s="57" t="s">
        <v>80</v>
      </c>
      <c r="C273" s="56" t="s">
        <v>81</v>
      </c>
      <c r="D273" s="56" t="s">
        <v>82</v>
      </c>
      <c r="E273" s="56" t="s">
        <v>51</v>
      </c>
      <c r="F273" s="56" t="s">
        <v>54</v>
      </c>
      <c r="G273" s="56" t="s">
        <v>83</v>
      </c>
      <c r="H273" s="56" t="s">
        <v>84</v>
      </c>
      <c r="I273" s="56" t="s">
        <v>85</v>
      </c>
      <c r="J273" s="56" t="s">
        <v>86</v>
      </c>
      <c r="K273" s="56" t="s">
        <v>87</v>
      </c>
      <c r="L273" s="56" t="s">
        <v>88</v>
      </c>
      <c r="M273" s="90" t="s">
        <v>89</v>
      </c>
    </row>
    <row r="274" spans="1:13" ht="12.75">
      <c r="A274" s="48"/>
      <c r="B274" s="48" t="s">
        <v>75</v>
      </c>
      <c r="C274" s="91" t="s">
        <v>90</v>
      </c>
      <c r="D274" s="49"/>
      <c r="E274" s="49"/>
      <c r="F274" s="49"/>
      <c r="G274" s="49">
        <v>1</v>
      </c>
      <c r="H274" s="49">
        <v>2</v>
      </c>
      <c r="I274" s="49">
        <v>3</v>
      </c>
      <c r="J274" s="49"/>
      <c r="K274" s="48"/>
      <c r="L274" s="48"/>
      <c r="M274" s="48"/>
    </row>
    <row r="275" spans="1:13" ht="12.75">
      <c r="A275" s="57">
        <v>1</v>
      </c>
      <c r="B275" s="57">
        <f aca="true" t="shared" si="59" ref="B275:B281">D218</f>
        <v>6.274</v>
      </c>
      <c r="C275" s="57">
        <f aca="true" t="shared" si="60" ref="C275:C283">$D$60</f>
        <v>45.39</v>
      </c>
      <c r="D275" s="57">
        <f aca="true" t="shared" si="61" ref="D275:D281">B275+C275</f>
        <v>51.664</v>
      </c>
      <c r="E275" s="57">
        <f aca="true" t="shared" si="62" ref="E275:E281">H218</f>
        <v>0</v>
      </c>
      <c r="F275" s="57">
        <f aca="true" t="shared" si="63" ref="F275:F281">K218</f>
        <v>6.210000000000001</v>
      </c>
      <c r="G275" s="57">
        <f aca="true" t="shared" si="64" ref="G275:G281">ROUND(D275/($F$3*$L$11),2)</f>
        <v>4.78</v>
      </c>
      <c r="H275" s="57">
        <f aca="true" t="shared" si="65" ref="H275:H281">ROUND(ABS(E275)*6/($F$3*$L$11^2),2)</f>
        <v>0</v>
      </c>
      <c r="I275" s="57">
        <f aca="true" t="shared" si="66" ref="I275:I281">ROUND(ABS(F275)*6/($L$11*$F$3^2),2)</f>
        <v>1.15</v>
      </c>
      <c r="J275" s="57">
        <f aca="true" t="shared" si="67" ref="J275:J281">G275+H275-I275</f>
        <v>3.6300000000000003</v>
      </c>
      <c r="K275" s="57">
        <f aca="true" t="shared" si="68" ref="K275:K281">G275+H275+I275</f>
        <v>5.93</v>
      </c>
      <c r="L275" s="57">
        <f aca="true" t="shared" si="69" ref="L275:L281">G275-H275+I275</f>
        <v>5.93</v>
      </c>
      <c r="M275" s="57">
        <f aca="true" t="shared" si="70" ref="M275:M281">G275-H275-I275</f>
        <v>3.6300000000000003</v>
      </c>
    </row>
    <row r="276" spans="1:13" ht="12.75">
      <c r="A276" s="66">
        <v>2</v>
      </c>
      <c r="B276" s="66">
        <f t="shared" si="59"/>
        <v>6.269</v>
      </c>
      <c r="C276" s="66">
        <f t="shared" si="60"/>
        <v>45.39</v>
      </c>
      <c r="D276" s="66">
        <f t="shared" si="61"/>
        <v>51.659</v>
      </c>
      <c r="E276" s="66">
        <f t="shared" si="62"/>
        <v>-5.204170427930421E-18</v>
      </c>
      <c r="F276" s="66">
        <f t="shared" si="63"/>
        <v>-2.608</v>
      </c>
      <c r="G276" s="66">
        <f t="shared" si="64"/>
        <v>4.78</v>
      </c>
      <c r="H276" s="66">
        <f t="shared" si="65"/>
        <v>0</v>
      </c>
      <c r="I276" s="66">
        <f t="shared" si="66"/>
        <v>0.48</v>
      </c>
      <c r="J276" s="66">
        <f t="shared" si="67"/>
        <v>4.300000000000001</v>
      </c>
      <c r="K276" s="66">
        <f t="shared" si="68"/>
        <v>5.26</v>
      </c>
      <c r="L276" s="66">
        <f t="shared" si="69"/>
        <v>5.26</v>
      </c>
      <c r="M276" s="66">
        <f t="shared" si="70"/>
        <v>4.300000000000001</v>
      </c>
    </row>
    <row r="277" spans="1:13" ht="12.75">
      <c r="A277" s="66">
        <v>3</v>
      </c>
      <c r="B277" s="66">
        <f t="shared" si="59"/>
        <v>6.27</v>
      </c>
      <c r="C277" s="66">
        <f t="shared" si="60"/>
        <v>45.39</v>
      </c>
      <c r="D277" s="66">
        <f t="shared" si="61"/>
        <v>51.66</v>
      </c>
      <c r="E277" s="66">
        <f t="shared" si="62"/>
        <v>22.446999999999996</v>
      </c>
      <c r="F277" s="66">
        <f t="shared" si="63"/>
        <v>1.703</v>
      </c>
      <c r="G277" s="66">
        <f t="shared" si="64"/>
        <v>4.78</v>
      </c>
      <c r="H277" s="66">
        <f t="shared" si="65"/>
        <v>3.46</v>
      </c>
      <c r="I277" s="66">
        <f t="shared" si="66"/>
        <v>0.32</v>
      </c>
      <c r="J277" s="66">
        <f t="shared" si="67"/>
        <v>7.92</v>
      </c>
      <c r="K277" s="66">
        <f t="shared" si="68"/>
        <v>8.56</v>
      </c>
      <c r="L277" s="66">
        <f t="shared" si="69"/>
        <v>1.6400000000000003</v>
      </c>
      <c r="M277" s="66">
        <f t="shared" si="70"/>
        <v>1.0000000000000002</v>
      </c>
    </row>
    <row r="278" spans="1:13" ht="12.75">
      <c r="A278" s="66">
        <v>4</v>
      </c>
      <c r="B278" s="66">
        <f t="shared" si="59"/>
        <v>6.271000000000001</v>
      </c>
      <c r="C278" s="66">
        <f t="shared" si="60"/>
        <v>45.39</v>
      </c>
      <c r="D278" s="66">
        <f t="shared" si="61"/>
        <v>51.661</v>
      </c>
      <c r="E278" s="66">
        <f t="shared" si="62"/>
        <v>-22.438</v>
      </c>
      <c r="F278" s="66">
        <f t="shared" si="63"/>
        <v>1.8879999999999995</v>
      </c>
      <c r="G278" s="66">
        <f t="shared" si="64"/>
        <v>4.78</v>
      </c>
      <c r="H278" s="66">
        <f t="shared" si="65"/>
        <v>3.46</v>
      </c>
      <c r="I278" s="66">
        <f t="shared" si="66"/>
        <v>0.35</v>
      </c>
      <c r="J278" s="66">
        <f t="shared" si="67"/>
        <v>7.890000000000001</v>
      </c>
      <c r="K278" s="66">
        <f t="shared" si="68"/>
        <v>8.59</v>
      </c>
      <c r="L278" s="66">
        <f t="shared" si="69"/>
        <v>1.6700000000000004</v>
      </c>
      <c r="M278" s="66">
        <f t="shared" si="70"/>
        <v>0.9700000000000003</v>
      </c>
    </row>
    <row r="279" spans="1:13" ht="12.75">
      <c r="A279" s="66">
        <v>5</v>
      </c>
      <c r="B279" s="66">
        <f t="shared" si="59"/>
        <v>8.104</v>
      </c>
      <c r="C279" s="66">
        <f t="shared" si="60"/>
        <v>45.39</v>
      </c>
      <c r="D279" s="66">
        <f t="shared" si="61"/>
        <v>53.494</v>
      </c>
      <c r="E279" s="66">
        <f t="shared" si="62"/>
        <v>2.7319999999999993</v>
      </c>
      <c r="F279" s="66">
        <f t="shared" si="63"/>
        <v>8.852</v>
      </c>
      <c r="G279" s="66">
        <f t="shared" si="64"/>
        <v>4.95</v>
      </c>
      <c r="H279" s="66">
        <f t="shared" si="65"/>
        <v>0.42</v>
      </c>
      <c r="I279" s="66">
        <f t="shared" si="66"/>
        <v>1.64</v>
      </c>
      <c r="J279" s="66">
        <f t="shared" si="67"/>
        <v>3.7300000000000004</v>
      </c>
      <c r="K279" s="66">
        <f t="shared" si="68"/>
        <v>7.01</v>
      </c>
      <c r="L279" s="66">
        <f t="shared" si="69"/>
        <v>6.17</v>
      </c>
      <c r="M279" s="66">
        <f t="shared" si="70"/>
        <v>2.8900000000000006</v>
      </c>
    </row>
    <row r="280" spans="1:13" ht="12.75">
      <c r="A280" s="66">
        <v>6</v>
      </c>
      <c r="B280" s="66">
        <f t="shared" si="59"/>
        <v>8.107000000000001</v>
      </c>
      <c r="C280" s="66">
        <f t="shared" si="60"/>
        <v>45.39</v>
      </c>
      <c r="D280" s="66">
        <f t="shared" si="61"/>
        <v>53.497</v>
      </c>
      <c r="E280" s="66">
        <f t="shared" si="62"/>
        <v>2.7520000000000007</v>
      </c>
      <c r="F280" s="66">
        <f t="shared" si="63"/>
        <v>13.268</v>
      </c>
      <c r="G280" s="66">
        <f t="shared" si="64"/>
        <v>4.95</v>
      </c>
      <c r="H280" s="66">
        <f t="shared" si="65"/>
        <v>0.42</v>
      </c>
      <c r="I280" s="66">
        <f t="shared" si="66"/>
        <v>2.46</v>
      </c>
      <c r="J280" s="66">
        <f t="shared" si="67"/>
        <v>2.91</v>
      </c>
      <c r="K280" s="66">
        <f t="shared" si="68"/>
        <v>7.83</v>
      </c>
      <c r="L280" s="66">
        <f t="shared" si="69"/>
        <v>6.99</v>
      </c>
      <c r="M280" s="66">
        <f t="shared" si="70"/>
        <v>2.0700000000000003</v>
      </c>
    </row>
    <row r="281" spans="1:13" ht="12.75">
      <c r="A281" s="66">
        <v>7</v>
      </c>
      <c r="B281" s="66">
        <f t="shared" si="59"/>
        <v>8.102</v>
      </c>
      <c r="C281" s="66">
        <f t="shared" si="60"/>
        <v>45.39</v>
      </c>
      <c r="D281" s="66">
        <f t="shared" si="61"/>
        <v>53.492000000000004</v>
      </c>
      <c r="E281" s="66">
        <f t="shared" si="62"/>
        <v>2.752</v>
      </c>
      <c r="F281" s="66">
        <f t="shared" si="63"/>
        <v>4.42</v>
      </c>
      <c r="G281" s="66">
        <f t="shared" si="64"/>
        <v>4.95</v>
      </c>
      <c r="H281" s="66">
        <f t="shared" si="65"/>
        <v>0.42</v>
      </c>
      <c r="I281" s="66">
        <f t="shared" si="66"/>
        <v>0.82</v>
      </c>
      <c r="J281" s="66">
        <f t="shared" si="67"/>
        <v>4.55</v>
      </c>
      <c r="K281" s="66">
        <f t="shared" si="68"/>
        <v>6.19</v>
      </c>
      <c r="L281" s="66">
        <f t="shared" si="69"/>
        <v>5.3500000000000005</v>
      </c>
      <c r="M281" s="66">
        <f t="shared" si="70"/>
        <v>3.7100000000000004</v>
      </c>
    </row>
    <row r="282" spans="1:13" ht="12.75">
      <c r="A282" s="66">
        <v>8</v>
      </c>
      <c r="B282" s="66">
        <f>D225</f>
        <v>8.105</v>
      </c>
      <c r="C282" s="66">
        <f t="shared" si="60"/>
        <v>45.39</v>
      </c>
      <c r="D282" s="66">
        <f>B282+C282</f>
        <v>53.495000000000005</v>
      </c>
      <c r="E282" s="66">
        <f>H225</f>
        <v>25.189</v>
      </c>
      <c r="F282" s="66">
        <f>K225</f>
        <v>8.759</v>
      </c>
      <c r="G282" s="66">
        <f>ROUND(D282/($F$3*$L$11),2)</f>
        <v>4.95</v>
      </c>
      <c r="H282" s="66">
        <f>ROUND(ABS(E282)*6/($F$3*$L$11^2),2)</f>
        <v>3.89</v>
      </c>
      <c r="I282" s="66">
        <f>ROUND(ABS(F282)*6/($L$11*$F$3^2),2)</f>
        <v>1.62</v>
      </c>
      <c r="J282" s="66">
        <f>G282+H282-I282</f>
        <v>7.22</v>
      </c>
      <c r="K282" s="66">
        <f>G282+H282+I282</f>
        <v>10.46</v>
      </c>
      <c r="L282" s="66">
        <f>G282-H282+I282</f>
        <v>2.68</v>
      </c>
      <c r="M282" s="66">
        <f>G282-H282-I282</f>
        <v>-0.56</v>
      </c>
    </row>
    <row r="283" spans="1:13" ht="12.75">
      <c r="A283" s="66">
        <v>9</v>
      </c>
      <c r="B283" s="66">
        <f>D226</f>
        <v>8.105</v>
      </c>
      <c r="C283" s="66">
        <f t="shared" si="60"/>
        <v>45.39</v>
      </c>
      <c r="D283" s="66">
        <f>B283+C283</f>
        <v>53.495000000000005</v>
      </c>
      <c r="E283" s="66">
        <f>H226</f>
        <v>-19.695999999999998</v>
      </c>
      <c r="F283" s="66">
        <f>K226</f>
        <v>8.936</v>
      </c>
      <c r="G283" s="66">
        <f>ROUND(D283/($F$3*$L$11),2)</f>
        <v>4.95</v>
      </c>
      <c r="H283" s="66">
        <f>ROUND(ABS(E283)*6/($F$3*$L$11^2),2)</f>
        <v>3.04</v>
      </c>
      <c r="I283" s="66">
        <f>ROUND(ABS(F283)*6/($L$11*$F$3^2),2)</f>
        <v>1.65</v>
      </c>
      <c r="J283" s="66">
        <f>G283+H283-I283</f>
        <v>6.34</v>
      </c>
      <c r="K283" s="66">
        <f>G283+H283+I283</f>
        <v>9.64</v>
      </c>
      <c r="L283" s="66">
        <f>G283-H283+I283</f>
        <v>3.56</v>
      </c>
      <c r="M283" s="66">
        <f>G283-H283-I283</f>
        <v>0.26000000000000023</v>
      </c>
    </row>
    <row r="284" spans="1:13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</row>
    <row r="286" spans="11:13" ht="12.75">
      <c r="K286" t="s">
        <v>91</v>
      </c>
      <c r="L286">
        <f>MAX(J275:M284)</f>
        <v>10.46</v>
      </c>
      <c r="M286" t="s">
        <v>92</v>
      </c>
    </row>
    <row r="287" spans="9:13" ht="12.75">
      <c r="I287" s="93"/>
      <c r="J287" s="92"/>
      <c r="K287" t="s">
        <v>93</v>
      </c>
      <c r="L287">
        <f>MIN(J275:M284)</f>
        <v>-0.56</v>
      </c>
      <c r="M287" t="s">
        <v>92</v>
      </c>
    </row>
    <row r="288" spans="9:11" ht="12.75">
      <c r="I288" s="93"/>
      <c r="J288" s="92"/>
      <c r="K288" s="93"/>
    </row>
    <row r="289" spans="1:11" ht="12.75">
      <c r="A289" s="2" t="s">
        <v>95</v>
      </c>
      <c r="I289" s="93"/>
      <c r="J289" s="92"/>
      <c r="K289" s="93"/>
    </row>
    <row r="290" ht="12.75">
      <c r="D290" s="94" t="s">
        <v>96</v>
      </c>
    </row>
    <row r="295" spans="4:7" ht="12.75">
      <c r="D295" s="95"/>
      <c r="E295" s="95"/>
      <c r="F295" s="95"/>
      <c r="G295" s="95"/>
    </row>
    <row r="296" spans="4:7" ht="12.75">
      <c r="D296" s="95"/>
      <c r="E296" s="95"/>
      <c r="F296" s="95"/>
      <c r="G296" s="95"/>
    </row>
    <row r="297" spans="4:7" ht="12.75">
      <c r="D297" s="95"/>
      <c r="E297" s="95"/>
      <c r="F297" s="95"/>
      <c r="G297" s="95"/>
    </row>
    <row r="298" spans="4:9" ht="12.75">
      <c r="D298" s="95"/>
      <c r="E298" s="95"/>
      <c r="F298" s="95"/>
      <c r="G298" s="94" t="s">
        <v>97</v>
      </c>
      <c r="H298" s="67">
        <f>F307</f>
        <v>3.5999999999999996</v>
      </c>
      <c r="I298" s="94" t="s">
        <v>98</v>
      </c>
    </row>
    <row r="299" spans="4:7" ht="12.75">
      <c r="D299" s="95"/>
      <c r="E299" s="95"/>
      <c r="F299" s="95"/>
      <c r="G299" s="95"/>
    </row>
    <row r="300" spans="4:7" ht="12.75">
      <c r="D300" s="95"/>
      <c r="E300" s="95"/>
      <c r="F300" s="95"/>
      <c r="G300" s="95"/>
    </row>
    <row r="301" spans="4:7" ht="12.75">
      <c r="D301" s="95"/>
      <c r="E301" s="95"/>
      <c r="F301" s="95"/>
      <c r="G301" s="95"/>
    </row>
    <row r="302" spans="4:7" ht="12.75">
      <c r="D302" s="95"/>
      <c r="E302" s="95"/>
      <c r="F302" s="95"/>
      <c r="G302" s="95"/>
    </row>
    <row r="303" spans="4:6" ht="12.75">
      <c r="D303" s="94" t="s">
        <v>99</v>
      </c>
      <c r="E303" s="67">
        <f>F306</f>
        <v>3</v>
      </c>
      <c r="F303" t="s">
        <v>11</v>
      </c>
    </row>
    <row r="304" spans="4:5" ht="12.75">
      <c r="D304" s="94"/>
      <c r="E304" s="67"/>
    </row>
    <row r="305" spans="2:7" ht="12.75">
      <c r="B305" t="s">
        <v>100</v>
      </c>
      <c r="D305" s="94"/>
      <c r="E305" s="67"/>
      <c r="F305" s="96">
        <f>L24</f>
        <v>2</v>
      </c>
      <c r="G305" t="s">
        <v>101</v>
      </c>
    </row>
    <row r="306" spans="2:12" ht="12.75">
      <c r="B306" t="s">
        <v>102</v>
      </c>
      <c r="E306" t="s">
        <v>103</v>
      </c>
      <c r="F306" s="97">
        <f>F3</f>
        <v>3</v>
      </c>
      <c r="G306" t="s">
        <v>101</v>
      </c>
      <c r="L306" s="98"/>
    </row>
    <row r="307" spans="2:7" ht="12.75">
      <c r="B307" t="s">
        <v>104</v>
      </c>
      <c r="E307" t="s">
        <v>105</v>
      </c>
      <c r="F307" s="99">
        <f>L11</f>
        <v>3.5999999999999996</v>
      </c>
      <c r="G307" t="s">
        <v>101</v>
      </c>
    </row>
    <row r="308" spans="2:7" ht="12.75">
      <c r="B308" t="s">
        <v>106</v>
      </c>
      <c r="E308" t="s">
        <v>107</v>
      </c>
      <c r="F308" s="101">
        <v>31.8</v>
      </c>
      <c r="G308" t="s">
        <v>15</v>
      </c>
    </row>
    <row r="309" spans="2:7" ht="12.75">
      <c r="B309" t="s">
        <v>108</v>
      </c>
      <c r="E309" t="s">
        <v>109</v>
      </c>
      <c r="F309" s="101">
        <v>25</v>
      </c>
      <c r="G309" t="s">
        <v>110</v>
      </c>
    </row>
    <row r="310" spans="2:7" ht="12.75">
      <c r="B310" t="s">
        <v>111</v>
      </c>
      <c r="E310" t="s">
        <v>112</v>
      </c>
      <c r="F310" s="101">
        <v>9</v>
      </c>
      <c r="G310" t="s">
        <v>110</v>
      </c>
    </row>
    <row r="311" spans="2:7" ht="14.25">
      <c r="B311" t="s">
        <v>113</v>
      </c>
      <c r="E311" t="s">
        <v>114</v>
      </c>
      <c r="F311" s="8">
        <f>F306*F307</f>
        <v>10.799999999999999</v>
      </c>
      <c r="G311" t="s">
        <v>217</v>
      </c>
    </row>
    <row r="312" spans="2:7" ht="14.25">
      <c r="B312" t="s">
        <v>218</v>
      </c>
      <c r="E312" t="s">
        <v>115</v>
      </c>
      <c r="F312" s="102">
        <f>F306*F307*F307/6</f>
        <v>6.4799999999999995</v>
      </c>
      <c r="G312" t="s">
        <v>219</v>
      </c>
    </row>
    <row r="313" spans="2:7" ht="14.25">
      <c r="B313" t="s">
        <v>220</v>
      </c>
      <c r="E313" t="s">
        <v>116</v>
      </c>
      <c r="F313" s="102">
        <f>F307*F306*F306/6</f>
        <v>5.3999999999999995</v>
      </c>
      <c r="G313" t="s">
        <v>219</v>
      </c>
    </row>
    <row r="314" spans="2:11" ht="15.75">
      <c r="B314" t="s">
        <v>117</v>
      </c>
      <c r="E314" t="s">
        <v>221</v>
      </c>
      <c r="F314" s="102">
        <f>F310/F308</f>
        <v>0.2830188679245283</v>
      </c>
      <c r="G314" t="s">
        <v>11</v>
      </c>
      <c r="H314" t="str">
        <f>IF(F314&lt;J314,"&lt;","&gt;")</f>
        <v>&lt;</v>
      </c>
      <c r="I314" t="s">
        <v>118</v>
      </c>
      <c r="J314" s="103">
        <f>F306/6</f>
        <v>0.5</v>
      </c>
      <c r="K314" t="s">
        <v>11</v>
      </c>
    </row>
    <row r="315" spans="2:11" ht="15.75">
      <c r="B315" t="s">
        <v>119</v>
      </c>
      <c r="E315" t="s">
        <v>222</v>
      </c>
      <c r="F315" s="102">
        <f>F309/F308</f>
        <v>0.7861635220125786</v>
      </c>
      <c r="G315" t="s">
        <v>11</v>
      </c>
      <c r="H315" t="str">
        <f>IF(F315&lt;J315,"&lt;","&gt;")</f>
        <v>&gt;</v>
      </c>
      <c r="I315" t="s">
        <v>120</v>
      </c>
      <c r="J315" s="103">
        <f>F307/6</f>
        <v>0.6</v>
      </c>
      <c r="K315" t="s">
        <v>11</v>
      </c>
    </row>
    <row r="316" spans="2:10" ht="12.75">
      <c r="B316" s="104" t="str">
        <f>IF(AND(F314&lt;J314,F315&lt;J315),"ECCENTRICITY IS INSIDE KERN","ECCENTRICITY IS OUTSIDE KERN")</f>
        <v>ECCENTRICITY IS OUTSIDE KERN</v>
      </c>
      <c r="F316" s="102"/>
      <c r="J316" s="105"/>
    </row>
    <row r="317" spans="2:9" ht="15.75">
      <c r="B317" t="s">
        <v>223</v>
      </c>
      <c r="E317" t="s">
        <v>121</v>
      </c>
      <c r="F317" s="102">
        <f>(F306/2)-F314</f>
        <v>1.2169811320754718</v>
      </c>
      <c r="G317" t="s">
        <v>11</v>
      </c>
      <c r="I317" t="s">
        <v>122</v>
      </c>
    </row>
    <row r="318" spans="2:7" ht="15.75">
      <c r="B318" t="s">
        <v>224</v>
      </c>
      <c r="E318" t="s">
        <v>123</v>
      </c>
      <c r="F318" s="102">
        <f>(H298/2)-F315</f>
        <v>1.0138364779874212</v>
      </c>
      <c r="G318" t="s">
        <v>11</v>
      </c>
    </row>
    <row r="319" spans="2:8" ht="12.75">
      <c r="B319" t="s">
        <v>124</v>
      </c>
      <c r="F319" s="102">
        <f>(F308/F311)-(F309/F312)-(F310/F313)</f>
        <v>-2.580246913580247</v>
      </c>
      <c r="G319" t="s">
        <v>125</v>
      </c>
      <c r="H319" s="98"/>
    </row>
    <row r="320" spans="6:7" ht="14.25">
      <c r="F320" s="106">
        <f>F319*10</f>
        <v>-25.80246913580247</v>
      </c>
      <c r="G320" t="s">
        <v>225</v>
      </c>
    </row>
    <row r="321" spans="2:6" ht="12.75">
      <c r="B321" s="104" t="str">
        <f>IF(F319&lt;0,"FOOTING IS IN TENSION","FOOTING IS NOT IN TENSION")</f>
        <v>FOOTING IS IN TENSION</v>
      </c>
      <c r="F321" s="106"/>
    </row>
    <row r="322" spans="5:6" ht="15.75">
      <c r="E322" t="s">
        <v>226</v>
      </c>
      <c r="F322" s="105">
        <f>ROUND((F314/F306),2)</f>
        <v>0.09</v>
      </c>
    </row>
    <row r="323" spans="5:6" ht="15.75">
      <c r="E323" t="s">
        <v>227</v>
      </c>
      <c r="F323">
        <f>ROUND((F315/F307),2)</f>
        <v>0.22</v>
      </c>
    </row>
    <row r="324" spans="2:7" ht="15.75">
      <c r="B324" t="s">
        <v>228</v>
      </c>
      <c r="G324" s="101">
        <v>3.1</v>
      </c>
    </row>
    <row r="325" spans="2:9" ht="12.75">
      <c r="B325" t="s">
        <v>126</v>
      </c>
      <c r="F325" s="105">
        <f>G324*F308/F311</f>
        <v>9.127777777777778</v>
      </c>
      <c r="G325" t="s">
        <v>125</v>
      </c>
      <c r="H325" s="92"/>
      <c r="I325" s="92"/>
    </row>
    <row r="326" spans="2:8" ht="12.75">
      <c r="B326" t="s">
        <v>127</v>
      </c>
      <c r="G326" s="107">
        <f>D36</f>
        <v>8</v>
      </c>
      <c r="H326" t="s">
        <v>125</v>
      </c>
    </row>
    <row r="327" spans="2:9" ht="12.75">
      <c r="B327" t="s">
        <v>128</v>
      </c>
      <c r="F327" s="107" t="str">
        <f>CONCATENATE(G326,"*1.25+1.8*",F305,"=")</f>
        <v>8*1.25+1.8*2=</v>
      </c>
      <c r="H327">
        <f>G326*1.25+1.8*F305</f>
        <v>13.6</v>
      </c>
      <c r="I327" t="s">
        <v>125</v>
      </c>
    </row>
    <row r="329" ht="12.75">
      <c r="A329" s="108" t="s">
        <v>129</v>
      </c>
    </row>
    <row r="330" ht="12.75">
      <c r="E330" s="109">
        <f>4*F317</f>
        <v>4.867924528301887</v>
      </c>
    </row>
    <row r="331" spans="3:5" ht="12.75">
      <c r="C331" s="106">
        <f>E330-E331</f>
        <v>1.867924528301887</v>
      </c>
      <c r="E331" s="8">
        <f>F306</f>
        <v>3</v>
      </c>
    </row>
    <row r="334" ht="12.75">
      <c r="B334" s="110">
        <f>H337/E330*C331</f>
        <v>1.556121105748135</v>
      </c>
    </row>
    <row r="335" ht="12.75">
      <c r="G335" s="94">
        <f>F307</f>
        <v>3.5999999999999996</v>
      </c>
    </row>
    <row r="337" spans="2:8" ht="12.75">
      <c r="B337" s="110">
        <f>G335-B334</f>
        <v>2.043878894251865</v>
      </c>
      <c r="H337" s="111">
        <f>4*F318</f>
        <v>4.055345911949685</v>
      </c>
    </row>
    <row r="341" ht="12.75">
      <c r="G341" s="111">
        <f>H337-G335</f>
        <v>0.455345911949685</v>
      </c>
    </row>
    <row r="344" spans="4:6" ht="12.75">
      <c r="D344" s="105">
        <f>E331-F344</f>
        <v>2.4534154220703224</v>
      </c>
      <c r="F344" s="110">
        <f>E330/H337*G341</f>
        <v>0.5465845779296779</v>
      </c>
    </row>
    <row r="346" spans="2:6" ht="12.75">
      <c r="B346" t="s">
        <v>130</v>
      </c>
      <c r="E346" s="112">
        <f>((0.5*D344*B337)/F311)*100</f>
        <v>23.21520370371094</v>
      </c>
      <c r="F346" s="92" t="s">
        <v>131</v>
      </c>
    </row>
    <row r="347" spans="1:10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2" ht="12.75">
      <c r="A348" s="2" t="s">
        <v>132</v>
      </c>
      <c r="J348" s="24"/>
      <c r="K348" s="24"/>
      <c r="L348" s="24"/>
    </row>
    <row r="349" spans="1:12" ht="12.75">
      <c r="A349" s="24"/>
      <c r="B349" s="2" t="s">
        <v>133</v>
      </c>
      <c r="C349" s="2"/>
      <c r="D349" s="2"/>
      <c r="E349" s="2"/>
      <c r="F349" s="2"/>
      <c r="G349" s="2"/>
      <c r="H349" s="2"/>
      <c r="I349" s="2"/>
      <c r="J349" s="2"/>
      <c r="K349" s="24"/>
      <c r="L349" s="24"/>
    </row>
    <row r="350" spans="4:12" ht="12.75">
      <c r="D350" s="113" t="s">
        <v>134</v>
      </c>
      <c r="E350" s="114"/>
      <c r="F350" s="114"/>
      <c r="K350" s="24"/>
      <c r="L350" s="24"/>
    </row>
    <row r="351" spans="10:12" ht="12.75">
      <c r="J351" s="24"/>
      <c r="K351" s="24"/>
      <c r="L351" s="24"/>
    </row>
    <row r="352" spans="10:12" ht="12.75">
      <c r="J352" s="24"/>
      <c r="K352" s="24"/>
      <c r="L352" s="24"/>
    </row>
    <row r="353" spans="10:12" ht="12.75">
      <c r="J353" s="24"/>
      <c r="K353" s="24"/>
      <c r="L353" s="24"/>
    </row>
    <row r="354" spans="10:12" ht="12.75">
      <c r="J354" s="24"/>
      <c r="K354" s="24"/>
      <c r="L354" s="24"/>
    </row>
    <row r="355" spans="3:12" ht="12.75">
      <c r="C355">
        <f>L11</f>
        <v>3.5999999999999996</v>
      </c>
      <c r="J355" s="24"/>
      <c r="K355" s="24"/>
      <c r="L355" s="24"/>
    </row>
    <row r="356" spans="10:12" ht="12.75">
      <c r="J356" s="24"/>
      <c r="K356" s="24"/>
      <c r="L356" s="24"/>
    </row>
    <row r="357" spans="10:12" ht="12.75">
      <c r="J357" s="24"/>
      <c r="K357" s="24"/>
      <c r="L357" s="24"/>
    </row>
    <row r="358" spans="10:12" ht="12.75">
      <c r="J358" s="24"/>
      <c r="K358" s="24"/>
      <c r="L358" s="24"/>
    </row>
    <row r="359" spans="10:12" ht="12.75">
      <c r="J359" s="24"/>
      <c r="K359" s="24"/>
      <c r="L359" s="24"/>
    </row>
    <row r="360" spans="10:12" ht="12.75">
      <c r="J360" s="24"/>
      <c r="K360" s="24"/>
      <c r="L360" s="24"/>
    </row>
    <row r="361" spans="5:12" ht="12.75">
      <c r="E361" s="3">
        <f>C19</f>
        <v>0.75</v>
      </c>
      <c r="F361" s="8">
        <f>F19/2</f>
        <v>0.75</v>
      </c>
      <c r="J361" s="24"/>
      <c r="K361" s="24"/>
      <c r="L361" s="24"/>
    </row>
    <row r="362" spans="4:12" ht="12.75">
      <c r="D362" s="94" t="s">
        <v>135</v>
      </c>
      <c r="E362" t="s">
        <v>136</v>
      </c>
      <c r="J362" s="24"/>
      <c r="K362" s="24"/>
      <c r="L362" s="24"/>
    </row>
    <row r="363" spans="4:12" ht="14.25">
      <c r="D363" s="94" t="s">
        <v>137</v>
      </c>
      <c r="E363" s="8">
        <f>D33</f>
        <v>30</v>
      </c>
      <c r="F363" t="s">
        <v>225</v>
      </c>
      <c r="J363" s="24"/>
      <c r="K363" s="24"/>
      <c r="L363" s="24"/>
    </row>
    <row r="364" spans="3:12" ht="12.75">
      <c r="C364" s="115" t="s">
        <v>138</v>
      </c>
      <c r="E364" s="8"/>
      <c r="J364" s="24"/>
      <c r="K364" s="24"/>
      <c r="L364" s="24"/>
    </row>
    <row r="365" spans="4:12" ht="12.75">
      <c r="D365" s="94" t="s">
        <v>139</v>
      </c>
      <c r="E365" s="8">
        <f>D43*1000</f>
        <v>400</v>
      </c>
      <c r="F365" t="s">
        <v>140</v>
      </c>
      <c r="J365" s="24"/>
      <c r="K365" s="24"/>
      <c r="L365" s="24"/>
    </row>
    <row r="366" spans="4:12" ht="12.75">
      <c r="D366" s="94" t="s">
        <v>141</v>
      </c>
      <c r="E366" s="8">
        <f>D44*1000</f>
        <v>600</v>
      </c>
      <c r="F366" t="s">
        <v>140</v>
      </c>
      <c r="J366" s="24"/>
      <c r="K366" s="24"/>
      <c r="L366" s="24"/>
    </row>
    <row r="367" spans="4:12" ht="12.75">
      <c r="D367" s="94"/>
      <c r="J367" s="24"/>
      <c r="K367" s="24"/>
      <c r="L367" s="24"/>
    </row>
    <row r="368" spans="3:12" ht="12.75">
      <c r="C368" s="115" t="s">
        <v>142</v>
      </c>
      <c r="J368" s="24"/>
      <c r="K368" s="24"/>
      <c r="L368" s="24"/>
    </row>
    <row r="369" spans="4:12" ht="12.75">
      <c r="D369" s="94" t="s">
        <v>139</v>
      </c>
      <c r="E369" s="8">
        <f>1000*(E361+F361)</f>
        <v>1500</v>
      </c>
      <c r="F369" t="s">
        <v>140</v>
      </c>
      <c r="J369" s="24"/>
      <c r="K369" s="24"/>
      <c r="L369" s="24"/>
    </row>
    <row r="370" spans="4:12" ht="12.75">
      <c r="D370" s="94" t="s">
        <v>141</v>
      </c>
      <c r="E370" s="8">
        <f>C355*1000</f>
        <v>3599.9999999999995</v>
      </c>
      <c r="F370" t="s">
        <v>140</v>
      </c>
      <c r="J370" s="24"/>
      <c r="K370" s="24"/>
      <c r="L370" s="24"/>
    </row>
    <row r="371" spans="4:12" ht="12.75">
      <c r="D371" s="94" t="s">
        <v>143</v>
      </c>
      <c r="E371" s="8">
        <f>D41*1000-75</f>
        <v>675</v>
      </c>
      <c r="F371" t="s">
        <v>140</v>
      </c>
      <c r="J371" s="24"/>
      <c r="K371" s="24"/>
      <c r="L371" s="24"/>
    </row>
    <row r="372" spans="4:12" ht="12.75">
      <c r="D372" s="94" t="s">
        <v>144</v>
      </c>
      <c r="E372" s="8">
        <f>ROUND(100*(D457*1000/D459)/(1000*(E371)),2)</f>
        <v>0.2</v>
      </c>
      <c r="F372" t="s">
        <v>131</v>
      </c>
      <c r="J372" s="24"/>
      <c r="K372" s="24"/>
      <c r="L372" s="24"/>
    </row>
    <row r="373" spans="4:12" ht="12.75">
      <c r="D373" s="94"/>
      <c r="E373" s="8"/>
      <c r="J373" s="24"/>
      <c r="K373" s="24"/>
      <c r="L373" s="24"/>
    </row>
    <row r="374" spans="3:12" ht="12.75">
      <c r="C374" s="115" t="s">
        <v>145</v>
      </c>
      <c r="D374" s="94"/>
      <c r="E374" s="8"/>
      <c r="J374" s="24"/>
      <c r="K374" s="24"/>
      <c r="L374" s="24"/>
    </row>
    <row r="375" spans="3:12" ht="12.75">
      <c r="C375" s="115"/>
      <c r="D375" s="94" t="s">
        <v>238</v>
      </c>
      <c r="E375" s="100">
        <f>MAX(E127:E163)</f>
        <v>9.105</v>
      </c>
      <c r="F375" t="s">
        <v>15</v>
      </c>
      <c r="J375" s="24"/>
      <c r="K375" s="24"/>
      <c r="L375" s="24"/>
    </row>
    <row r="376" spans="3:12" ht="12.75">
      <c r="C376" s="115"/>
      <c r="D376" s="94" t="s">
        <v>146</v>
      </c>
      <c r="E376" s="3" t="str">
        <f>CONCATENATE(E375," x ( ",E369/1000," x ",E370/1000," - ",D393/1000," x ",D394/1000," ) ")</f>
        <v>9.105 x ( 1.5 x 3.6 - 1.075 x 1.275 ) </v>
      </c>
      <c r="J376" s="24"/>
      <c r="K376" s="24"/>
      <c r="L376" s="24"/>
    </row>
    <row r="377" spans="3:12" ht="12.75">
      <c r="C377" s="115"/>
      <c r="D377" s="94"/>
      <c r="E377" s="3"/>
      <c r="F377" t="str">
        <f>CONCATENATE(,E369/1000," x ",E370/1000)</f>
        <v>1.5 x 3.6</v>
      </c>
      <c r="J377" s="24"/>
      <c r="K377" s="24"/>
      <c r="L377" s="24"/>
    </row>
    <row r="378" spans="3:12" ht="12.75">
      <c r="C378" s="115"/>
      <c r="D378" s="94"/>
      <c r="E378" s="3"/>
      <c r="J378" s="24"/>
      <c r="K378" s="24"/>
      <c r="L378" s="24"/>
    </row>
    <row r="379" spans="4:12" ht="12.75">
      <c r="D379" s="94" t="s">
        <v>147</v>
      </c>
      <c r="E379" s="8">
        <f>ROUNDUP(E375*(((E369*E370/1000000)-(D393*D394/1000000))/(E369*E370/1000000)),0)</f>
        <v>7</v>
      </c>
      <c r="F379" t="s">
        <v>148</v>
      </c>
      <c r="J379" s="24"/>
      <c r="K379" s="24"/>
      <c r="L379" s="24"/>
    </row>
    <row r="380" spans="3:12" ht="12.75">
      <c r="C380" s="116" t="s">
        <v>149</v>
      </c>
      <c r="J380" s="24"/>
      <c r="K380" s="24"/>
      <c r="L380" s="24"/>
    </row>
    <row r="381" spans="3:12" ht="12.75">
      <c r="C381" s="117" t="s">
        <v>14</v>
      </c>
      <c r="D381" t="s">
        <v>150</v>
      </c>
      <c r="F381" s="98"/>
      <c r="J381" s="24"/>
      <c r="K381" s="24"/>
      <c r="L381" s="24"/>
    </row>
    <row r="382" spans="3:12" ht="15.75">
      <c r="C382" s="118" t="s">
        <v>151</v>
      </c>
      <c r="D382" t="s">
        <v>230</v>
      </c>
      <c r="J382" s="24"/>
      <c r="K382" s="24"/>
      <c r="L382" s="24"/>
    </row>
    <row r="383" spans="3:12" ht="15.75">
      <c r="C383" s="94" t="s">
        <v>231</v>
      </c>
      <c r="D383" t="s">
        <v>232</v>
      </c>
      <c r="E383" s="98" t="s">
        <v>152</v>
      </c>
      <c r="J383" s="24"/>
      <c r="K383" s="24"/>
      <c r="L383" s="24"/>
    </row>
    <row r="384" spans="3:12" ht="15.75">
      <c r="C384" s="119" t="s">
        <v>233</v>
      </c>
      <c r="D384" t="s">
        <v>153</v>
      </c>
      <c r="J384" s="24"/>
      <c r="K384" s="24"/>
      <c r="L384" s="24"/>
    </row>
    <row r="385" spans="4:12" ht="12.75">
      <c r="D385" t="s">
        <v>154</v>
      </c>
      <c r="J385" s="24"/>
      <c r="K385" s="24"/>
      <c r="L385" s="24"/>
    </row>
    <row r="386" spans="10:12" ht="12.75">
      <c r="J386" s="24"/>
      <c r="K386" s="24"/>
      <c r="L386" s="24"/>
    </row>
    <row r="387" spans="3:12" ht="12.75">
      <c r="C387" s="148" t="s">
        <v>14</v>
      </c>
      <c r="D387" s="8">
        <f>MIN(E365:E366)</f>
        <v>400</v>
      </c>
      <c r="J387" s="24"/>
      <c r="K387" s="24"/>
      <c r="L387" s="24"/>
    </row>
    <row r="388" spans="3:12" ht="12.75">
      <c r="C388" s="149"/>
      <c r="D388" s="8">
        <f>MAX(E365:E366)</f>
        <v>600</v>
      </c>
      <c r="J388" s="24"/>
      <c r="K388" s="24"/>
      <c r="L388" s="24"/>
    </row>
    <row r="389" spans="3:12" ht="12.75">
      <c r="C389" s="117" t="s">
        <v>14</v>
      </c>
      <c r="D389" s="8">
        <f>ROUND(D387/D388,3)</f>
        <v>0.667</v>
      </c>
      <c r="J389" s="24"/>
      <c r="K389" s="24"/>
      <c r="L389" s="24"/>
    </row>
    <row r="390" spans="3:12" ht="15.75">
      <c r="C390" s="94" t="s">
        <v>231</v>
      </c>
      <c r="D390" s="8">
        <f>IF(D389+0.5&gt;1,1,0.5+D389)</f>
        <v>1</v>
      </c>
      <c r="J390" s="24"/>
      <c r="K390" s="24"/>
      <c r="L390" s="24"/>
    </row>
    <row r="391" spans="3:12" ht="15.75">
      <c r="C391" s="119" t="s">
        <v>234</v>
      </c>
      <c r="D391" s="102">
        <f>IF(D350="Limit State Method",ROUND(0.25*SQRT(E363),2),ROUND(0.16*SQRT(E363),2))</f>
        <v>1.37</v>
      </c>
      <c r="E391" t="s">
        <v>225</v>
      </c>
      <c r="J391" s="24"/>
      <c r="K391" s="24"/>
      <c r="L391" s="24"/>
    </row>
    <row r="392" spans="3:12" ht="12.75">
      <c r="C392" s="94" t="s">
        <v>155</v>
      </c>
      <c r="D392" t="s">
        <v>156</v>
      </c>
      <c r="J392" s="24"/>
      <c r="K392" s="24"/>
      <c r="L392" s="24"/>
    </row>
    <row r="393" spans="3:12" ht="12.75">
      <c r="C393" s="94" t="s">
        <v>157</v>
      </c>
      <c r="D393" s="8">
        <f>E365+E371</f>
        <v>1075</v>
      </c>
      <c r="E393" t="s">
        <v>140</v>
      </c>
      <c r="J393" s="24"/>
      <c r="K393" s="24"/>
      <c r="L393" s="24"/>
    </row>
    <row r="394" spans="3:12" ht="12.75">
      <c r="C394" s="94" t="s">
        <v>158</v>
      </c>
      <c r="D394" s="8">
        <f>E366+E371</f>
        <v>1275</v>
      </c>
      <c r="E394" t="s">
        <v>140</v>
      </c>
      <c r="J394" s="24"/>
      <c r="K394" s="24"/>
      <c r="L394" s="24"/>
    </row>
    <row r="395" spans="3:12" ht="12.75">
      <c r="C395" s="94" t="s">
        <v>159</v>
      </c>
      <c r="D395" s="8">
        <f>2*(D393+D394)</f>
        <v>4700</v>
      </c>
      <c r="E395" t="s">
        <v>140</v>
      </c>
      <c r="J395" s="24"/>
      <c r="K395" s="24"/>
      <c r="L395" s="24"/>
    </row>
    <row r="396" spans="2:12" ht="12.75">
      <c r="B396" s="150" t="s">
        <v>160</v>
      </c>
      <c r="C396" s="151"/>
      <c r="D396" s="8">
        <f>1.5*E379*10000</f>
        <v>105000</v>
      </c>
      <c r="J396" s="24"/>
      <c r="K396" s="24"/>
      <c r="L396" s="24"/>
    </row>
    <row r="397" spans="2:12" ht="12.75">
      <c r="B397" s="151"/>
      <c r="C397" s="151"/>
      <c r="D397" t="str">
        <f>CONCATENATE(D391," x",D395)</f>
        <v>1.37 x4700</v>
      </c>
      <c r="J397" s="24"/>
      <c r="K397" s="24"/>
      <c r="L397" s="24"/>
    </row>
    <row r="398" spans="3:12" ht="12.75">
      <c r="C398" s="117" t="s">
        <v>14</v>
      </c>
      <c r="D398" s="8">
        <f>ROUND(D396/(D391*D395),2)</f>
        <v>16.31</v>
      </c>
      <c r="E398" t="s">
        <v>140</v>
      </c>
      <c r="J398" s="24"/>
      <c r="K398" s="24"/>
      <c r="L398" s="24"/>
    </row>
    <row r="399" spans="3:12" ht="12.75">
      <c r="C399" s="94" t="s">
        <v>161</v>
      </c>
      <c r="D399" s="116" t="str">
        <f>CONCATENATE(D391," x ",D395," x ",E371," / ",10000)</f>
        <v>1.37 x 4700 x 675 / 10000</v>
      </c>
      <c r="E399" s="24"/>
      <c r="J399" s="24"/>
      <c r="K399" s="24"/>
      <c r="L399" s="24"/>
    </row>
    <row r="400" spans="4:12" ht="12.75">
      <c r="D400" s="8">
        <f>ROUNDDOWN(D391*D395*E371/10000,0)</f>
        <v>434</v>
      </c>
      <c r="E400" t="s">
        <v>15</v>
      </c>
      <c r="F400" s="93"/>
      <c r="G400" s="92"/>
      <c r="J400" s="24"/>
      <c r="K400" s="24"/>
      <c r="L400" s="24"/>
    </row>
    <row r="401" spans="10:12" ht="12.75">
      <c r="J401" s="24"/>
      <c r="K401" s="24"/>
      <c r="L401" s="24"/>
    </row>
    <row r="402" spans="1:12" ht="12.75">
      <c r="A402" s="24"/>
      <c r="B402" s="2" t="s">
        <v>162</v>
      </c>
      <c r="G402" s="120">
        <f>F3/2</f>
        <v>1.5</v>
      </c>
      <c r="H402" s="120"/>
      <c r="J402" s="24"/>
      <c r="K402" s="24"/>
      <c r="L402" s="24"/>
    </row>
    <row r="403" spans="1:12" ht="12.75">
      <c r="A403" s="2"/>
      <c r="J403" s="24"/>
      <c r="K403" s="24"/>
      <c r="L403" s="24"/>
    </row>
    <row r="404" spans="1:12" ht="12.75">
      <c r="A404" s="2"/>
      <c r="J404" s="24"/>
      <c r="K404" s="24"/>
      <c r="L404" s="24"/>
    </row>
    <row r="405" spans="1:12" ht="12.75">
      <c r="A405" s="2"/>
      <c r="J405" s="121">
        <f>B408/2-(E366/2+E371)/1000</f>
        <v>0.8249999999999998</v>
      </c>
      <c r="K405" s="24"/>
      <c r="L405" s="24"/>
    </row>
    <row r="406" spans="1:12" ht="12.75">
      <c r="A406" s="2"/>
      <c r="J406" s="24"/>
      <c r="K406" s="24"/>
      <c r="L406" s="24"/>
    </row>
    <row r="407" spans="1:12" ht="12.75">
      <c r="A407" s="2"/>
      <c r="J407" s="24"/>
      <c r="K407" s="24"/>
      <c r="L407" s="24"/>
    </row>
    <row r="408" spans="1:12" ht="12.75">
      <c r="A408" s="2"/>
      <c r="B408" s="3">
        <f>L11</f>
        <v>3.5999999999999996</v>
      </c>
      <c r="J408" s="24"/>
      <c r="K408" s="24"/>
      <c r="L408" s="24"/>
    </row>
    <row r="409" spans="1:12" ht="12.75">
      <c r="A409" s="2"/>
      <c r="J409" s="24"/>
      <c r="K409" s="24"/>
      <c r="L409" s="24"/>
    </row>
    <row r="410" spans="1:12" ht="12.75">
      <c r="A410" s="2"/>
      <c r="J410" s="24"/>
      <c r="K410" s="24"/>
      <c r="L410" s="24"/>
    </row>
    <row r="411" spans="1:12" ht="12.75">
      <c r="A411" s="2"/>
      <c r="J411" s="24"/>
      <c r="K411" s="24"/>
      <c r="L411" s="121"/>
    </row>
    <row r="412" spans="1:12" ht="12.75">
      <c r="A412" s="2"/>
      <c r="J412" s="24"/>
      <c r="K412" s="24"/>
      <c r="L412" s="24"/>
    </row>
    <row r="413" spans="1:12" ht="12.75">
      <c r="A413" s="2"/>
      <c r="J413" s="24"/>
      <c r="K413" s="24"/>
      <c r="L413" s="24"/>
    </row>
    <row r="414" spans="1:12" ht="12.75">
      <c r="A414" s="2"/>
      <c r="C414" s="8">
        <f>C415-(E371+E365/2)/1000</f>
        <v>-0.125</v>
      </c>
      <c r="D414" s="94">
        <f>ROUNDUP((E371+E365/2)/1000,2)</f>
        <v>0.88</v>
      </c>
      <c r="E414" s="120">
        <f>E415/2-D414</f>
        <v>-0.13</v>
      </c>
      <c r="F414" s="120"/>
      <c r="J414" s="24"/>
      <c r="K414" s="24"/>
      <c r="L414" s="24"/>
    </row>
    <row r="415" spans="1:12" ht="12.75">
      <c r="A415" s="2"/>
      <c r="C415">
        <f>C19</f>
        <v>0.75</v>
      </c>
      <c r="E415" s="120">
        <f>F19</f>
        <v>1.5</v>
      </c>
      <c r="F415" s="120"/>
      <c r="J415" s="24"/>
      <c r="K415" s="24"/>
      <c r="L415" s="24"/>
    </row>
    <row r="416" spans="1:12" ht="12.75">
      <c r="A416" s="2"/>
      <c r="J416" s="24"/>
      <c r="K416" s="24"/>
      <c r="L416" s="24"/>
    </row>
    <row r="417" spans="3:12" ht="12.75">
      <c r="C417" s="94" t="s">
        <v>135</v>
      </c>
      <c r="D417" t="s">
        <v>163</v>
      </c>
      <c r="J417" s="24"/>
      <c r="K417" s="24"/>
      <c r="L417" s="24"/>
    </row>
    <row r="418" spans="3:12" ht="14.25">
      <c r="C418" s="24"/>
      <c r="D418" s="94" t="s">
        <v>164</v>
      </c>
      <c r="E418" s="8">
        <f>L286-(D32*D41)-(D30*(L24-K27))</f>
        <v>6.335000000000001</v>
      </c>
      <c r="F418" t="s">
        <v>235</v>
      </c>
      <c r="G418" s="98" t="s">
        <v>165</v>
      </c>
      <c r="J418" s="24"/>
      <c r="K418" s="24"/>
      <c r="L418" s="24"/>
    </row>
    <row r="419" spans="3:12" ht="12.75">
      <c r="C419" s="24"/>
      <c r="D419" s="117"/>
      <c r="E419" s="24"/>
      <c r="F419" s="24"/>
      <c r="J419" s="24"/>
      <c r="K419" s="24"/>
      <c r="L419" s="24"/>
    </row>
    <row r="420" spans="2:12" ht="12.75">
      <c r="B420" s="118" t="s">
        <v>166</v>
      </c>
      <c r="J420" s="24"/>
      <c r="K420" s="24"/>
      <c r="L420" s="24"/>
    </row>
    <row r="421" spans="3:12" ht="12.75">
      <c r="C421" s="94" t="s">
        <v>167</v>
      </c>
      <c r="D421" s="8">
        <f>B408*1000</f>
        <v>3599.9999999999995</v>
      </c>
      <c r="E421" t="s">
        <v>140</v>
      </c>
      <c r="J421" s="24"/>
      <c r="K421" s="24"/>
      <c r="L421" s="24"/>
    </row>
    <row r="422" spans="3:12" ht="12.75">
      <c r="C422" s="94" t="s">
        <v>168</v>
      </c>
      <c r="D422" s="8">
        <f>MAX(C414,E414)*1000</f>
        <v>-125</v>
      </c>
      <c r="E422" t="s">
        <v>140</v>
      </c>
      <c r="J422" s="24"/>
      <c r="K422" s="24"/>
      <c r="L422" s="24"/>
    </row>
    <row r="423" spans="3:12" ht="12.75">
      <c r="C423" s="94" t="s">
        <v>169</v>
      </c>
      <c r="D423" t="str">
        <f>CONCATENATE(E418," x ",D421/1000," x ",D422/1000)</f>
        <v>6.335 x 3.6 x -0.125</v>
      </c>
      <c r="J423" s="24"/>
      <c r="K423" s="24"/>
      <c r="L423" s="24"/>
    </row>
    <row r="424" spans="3:12" ht="12.75">
      <c r="C424" s="117" t="s">
        <v>14</v>
      </c>
      <c r="D424" s="8">
        <f>ROUNDUP(E418*(D421/1000)*(D422/1000),0)</f>
        <v>-3</v>
      </c>
      <c r="E424" t="s">
        <v>15</v>
      </c>
      <c r="J424" s="24"/>
      <c r="K424" s="24"/>
      <c r="L424" s="24"/>
    </row>
    <row r="425" spans="2:12" ht="12.75">
      <c r="B425" s="118" t="s">
        <v>170</v>
      </c>
      <c r="C425" s="117"/>
      <c r="D425" s="8"/>
      <c r="J425" s="24"/>
      <c r="K425" s="24"/>
      <c r="L425" s="24"/>
    </row>
    <row r="426" spans="2:12" ht="12.75">
      <c r="B426" s="118"/>
      <c r="C426" s="94" t="s">
        <v>167</v>
      </c>
      <c r="D426" s="8">
        <f>G402*1000</f>
        <v>1500</v>
      </c>
      <c r="E426" t="s">
        <v>140</v>
      </c>
      <c r="J426" s="24"/>
      <c r="K426" s="24"/>
      <c r="L426" s="24"/>
    </row>
    <row r="427" spans="2:12" ht="12.75">
      <c r="B427" s="118"/>
      <c r="C427" s="94" t="s">
        <v>168</v>
      </c>
      <c r="D427" s="8">
        <f>J405*1000</f>
        <v>824.9999999999999</v>
      </c>
      <c r="E427" t="s">
        <v>140</v>
      </c>
      <c r="J427" s="24"/>
      <c r="K427" s="24"/>
      <c r="L427" s="24"/>
    </row>
    <row r="428" spans="2:12" ht="12.75">
      <c r="B428" s="118"/>
      <c r="C428" s="94" t="s">
        <v>169</v>
      </c>
      <c r="D428" t="str">
        <f>CONCATENATE(E418," x ",D426/1000," x ",D427/1000)</f>
        <v>6.335 x 1.5 x 0.825</v>
      </c>
      <c r="J428" s="24"/>
      <c r="K428" s="24"/>
      <c r="L428" s="24"/>
    </row>
    <row r="429" spans="2:12" ht="12.75">
      <c r="B429" s="118"/>
      <c r="C429" s="117" t="s">
        <v>14</v>
      </c>
      <c r="D429" s="8">
        <f>ROUNDUP(E418*(D426/1000)*(D427/1000),0)</f>
        <v>8</v>
      </c>
      <c r="E429" t="s">
        <v>15</v>
      </c>
      <c r="J429" s="24"/>
      <c r="K429" s="24"/>
      <c r="L429" s="24"/>
    </row>
    <row r="430" spans="2:12" ht="12.75">
      <c r="B430" s="118"/>
      <c r="C430" s="117"/>
      <c r="D430" s="8"/>
      <c r="J430" s="24"/>
      <c r="K430" s="24"/>
      <c r="L430" s="24"/>
    </row>
    <row r="431" spans="2:12" ht="12.75">
      <c r="B431" s="118"/>
      <c r="C431" s="94" t="s">
        <v>171</v>
      </c>
      <c r="D431" s="8">
        <f>MAX(D424,D429)</f>
        <v>8</v>
      </c>
      <c r="E431" t="s">
        <v>15</v>
      </c>
      <c r="J431" s="24"/>
      <c r="K431" s="24"/>
      <c r="L431" s="24"/>
    </row>
    <row r="432" spans="2:12" ht="12.75">
      <c r="B432" s="118"/>
      <c r="C432" s="94" t="s">
        <v>172</v>
      </c>
      <c r="D432" s="8">
        <f>IF(D431=D424,D421,D426)</f>
        <v>1500</v>
      </c>
      <c r="E432" t="s">
        <v>140</v>
      </c>
      <c r="J432" s="24"/>
      <c r="K432" s="24"/>
      <c r="L432" s="24"/>
    </row>
    <row r="433" spans="2:12" ht="12.75">
      <c r="B433" s="118"/>
      <c r="C433" s="117"/>
      <c r="D433" s="8"/>
      <c r="J433" s="24"/>
      <c r="K433" s="24"/>
      <c r="L433" s="24"/>
    </row>
    <row r="434" spans="3:12" ht="14.25">
      <c r="C434" s="94" t="s">
        <v>173</v>
      </c>
      <c r="D434" s="122">
        <v>0.33</v>
      </c>
      <c r="E434" t="s">
        <v>225</v>
      </c>
      <c r="F434" s="98" t="str">
        <f>IF(D350="Limit State Method","----Refer Table 19 of IS 456","----Refer Table 21 of IS 456")</f>
        <v>----Refer Table 19 of IS 456</v>
      </c>
      <c r="J434" s="24"/>
      <c r="K434" s="24"/>
      <c r="L434" s="24"/>
    </row>
    <row r="435" spans="3:12" ht="12.75">
      <c r="C435" s="94" t="s">
        <v>174</v>
      </c>
      <c r="D435" s="101">
        <v>1</v>
      </c>
      <c r="E435" s="98" t="s">
        <v>175</v>
      </c>
      <c r="J435" s="24"/>
      <c r="K435" s="24"/>
      <c r="L435" s="24"/>
    </row>
    <row r="436" spans="3:12" ht="15.75">
      <c r="C436" s="119" t="s">
        <v>236</v>
      </c>
      <c r="D436" s="8">
        <f>D434*D435</f>
        <v>0.33</v>
      </c>
      <c r="E436" s="1" t="s">
        <v>225</v>
      </c>
      <c r="J436" s="24"/>
      <c r="K436" s="24"/>
      <c r="L436" s="24"/>
    </row>
    <row r="437" spans="3:12" ht="12.75">
      <c r="C437" s="94" t="s">
        <v>160</v>
      </c>
      <c r="D437" s="8">
        <f>1.5*D431*10000</f>
        <v>120000</v>
      </c>
      <c r="J437" s="24"/>
      <c r="K437" s="24"/>
      <c r="L437" s="24"/>
    </row>
    <row r="438" spans="4:12" ht="12.75">
      <c r="D438" t="str">
        <f>CONCATENATE(D436," x ",D432)</f>
        <v>0.33 x 1500</v>
      </c>
      <c r="J438" s="24"/>
      <c r="K438" s="24"/>
      <c r="L438" s="24"/>
    </row>
    <row r="439" spans="3:12" ht="12.75">
      <c r="C439" s="117" t="s">
        <v>14</v>
      </c>
      <c r="D439" s="8">
        <f>ROUNDUP((1.5*D431*10000)/(D436*D432),0)</f>
        <v>243</v>
      </c>
      <c r="E439" t="s">
        <v>140</v>
      </c>
      <c r="F439" s="93"/>
      <c r="G439" s="92"/>
      <c r="J439" s="24"/>
      <c r="K439" s="24"/>
      <c r="L439" s="24"/>
    </row>
    <row r="440" spans="1:12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2.75">
      <c r="A441" s="2" t="s">
        <v>176</v>
      </c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2.75">
      <c r="A442" s="24"/>
      <c r="B442" s="123" t="s">
        <v>177</v>
      </c>
      <c r="C442" s="24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4.25">
      <c r="A443" s="24"/>
      <c r="B443" s="24"/>
      <c r="C443" s="94" t="s">
        <v>164</v>
      </c>
      <c r="D443" s="124">
        <f>L286</f>
        <v>10.46</v>
      </c>
      <c r="E443" t="s">
        <v>229</v>
      </c>
      <c r="F443" s="125" t="s">
        <v>178</v>
      </c>
      <c r="G443" s="24"/>
      <c r="H443" s="24"/>
      <c r="I443" s="24"/>
      <c r="J443" s="24"/>
      <c r="K443" s="24"/>
      <c r="L443" s="24"/>
    </row>
    <row r="444" spans="1:12" ht="12.75">
      <c r="A444" s="24"/>
      <c r="B444" s="24"/>
      <c r="C444" s="94" t="s">
        <v>179</v>
      </c>
      <c r="D444" s="126" t="str">
        <f>CONCATENATE(" ( ",D48," + ",D52," ) / ( ",F3," x ",L11," ) ")</f>
        <v> ( 20.25 + 22.14 ) / ( 3 x 3.6 ) </v>
      </c>
      <c r="E444" s="24"/>
      <c r="F444" s="24"/>
      <c r="G444" s="24"/>
      <c r="H444" s="24"/>
      <c r="I444" s="24"/>
      <c r="J444" s="24"/>
      <c r="K444" s="24"/>
      <c r="L444" s="24"/>
    </row>
    <row r="445" spans="1:12" ht="14.25">
      <c r="A445" s="24"/>
      <c r="B445" s="24"/>
      <c r="C445" s="117" t="s">
        <v>14</v>
      </c>
      <c r="D445" s="124">
        <f>ROUND((D48+D52)/(F3*L11),2)</f>
        <v>3.93</v>
      </c>
      <c r="E445" t="s">
        <v>229</v>
      </c>
      <c r="F445" s="24"/>
      <c r="G445" s="24"/>
      <c r="H445" s="24"/>
      <c r="I445" s="24"/>
      <c r="J445" s="24"/>
      <c r="K445" s="24"/>
      <c r="L445" s="24"/>
    </row>
    <row r="446" spans="1:12" ht="14.25">
      <c r="A446" s="24"/>
      <c r="B446" s="24"/>
      <c r="C446" s="94" t="s">
        <v>180</v>
      </c>
      <c r="D446" s="124">
        <f>ROUNDUP(D443-D445,3)</f>
        <v>6.53</v>
      </c>
      <c r="E446" t="s">
        <v>229</v>
      </c>
      <c r="F446" s="24"/>
      <c r="G446" s="24"/>
      <c r="H446" s="24"/>
      <c r="I446" s="24"/>
      <c r="J446" s="24"/>
      <c r="K446" s="24"/>
      <c r="L446" s="24"/>
    </row>
    <row r="447" spans="1:12" ht="12.75">
      <c r="A447" s="24"/>
      <c r="B447" s="24"/>
      <c r="C447" s="94" t="s">
        <v>181</v>
      </c>
      <c r="D447" s="124">
        <f>MAX((C19-D6/2),(B16-C8/2))</f>
        <v>0.75</v>
      </c>
      <c r="E447" t="s">
        <v>11</v>
      </c>
      <c r="F447" s="24"/>
      <c r="G447" s="24"/>
      <c r="H447" s="24"/>
      <c r="I447" s="24"/>
      <c r="J447" s="24"/>
      <c r="K447" s="24"/>
      <c r="L447" s="24"/>
    </row>
    <row r="448" spans="1:12" ht="12.75">
      <c r="A448" s="24"/>
      <c r="B448" s="24"/>
      <c r="C448" s="94" t="s">
        <v>182</v>
      </c>
      <c r="D448" s="24" t="str">
        <f>CONCATENATE(D446," x ",D447," x ",D447," / ",2)</f>
        <v>6.53 x 0.75 x 0.75 / 2</v>
      </c>
      <c r="E448" s="24"/>
      <c r="F448" s="24"/>
      <c r="G448" s="24"/>
      <c r="H448" s="24"/>
      <c r="I448" s="24"/>
      <c r="J448" s="24"/>
      <c r="K448" s="24"/>
      <c r="L448" s="24"/>
    </row>
    <row r="449" spans="1:12" ht="12.75">
      <c r="A449" s="24"/>
      <c r="B449" s="24"/>
      <c r="C449" s="117" t="s">
        <v>14</v>
      </c>
      <c r="D449" s="124">
        <f>ROUND(D446*D447*D447/2,2)</f>
        <v>1.84</v>
      </c>
      <c r="E449" s="24" t="s">
        <v>183</v>
      </c>
      <c r="F449" s="24"/>
      <c r="G449" s="24"/>
      <c r="H449" s="24"/>
      <c r="I449" s="24"/>
      <c r="J449" s="24"/>
      <c r="K449" s="24"/>
      <c r="L449" s="24"/>
    </row>
    <row r="450" spans="1:12" ht="12.75">
      <c r="A450" s="24"/>
      <c r="B450" s="24"/>
      <c r="C450" s="121" t="s">
        <v>184</v>
      </c>
      <c r="D450" s="127" t="s">
        <v>185</v>
      </c>
      <c r="E450" s="127"/>
      <c r="F450" s="124" t="s">
        <v>186</v>
      </c>
      <c r="G450" s="127" t="s">
        <v>187</v>
      </c>
      <c r="H450" s="127"/>
      <c r="I450" s="24"/>
      <c r="J450" s="24"/>
      <c r="K450" s="24"/>
      <c r="L450" s="24"/>
    </row>
    <row r="451" spans="1:12" ht="12.75">
      <c r="A451" s="24"/>
      <c r="B451" s="24"/>
      <c r="C451" s="24"/>
      <c r="D451" s="127" t="s">
        <v>188</v>
      </c>
      <c r="E451" s="127"/>
      <c r="F451" s="24"/>
      <c r="G451" s="127" t="s">
        <v>189</v>
      </c>
      <c r="H451" s="127"/>
      <c r="I451" s="24"/>
      <c r="J451" s="24"/>
      <c r="K451" s="24"/>
      <c r="L451" s="24"/>
    </row>
    <row r="452" spans="1:12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4.25">
      <c r="A453" s="24"/>
      <c r="B453" s="24"/>
      <c r="C453" s="121" t="s">
        <v>184</v>
      </c>
      <c r="D453" s="124">
        <f>ROUND((0.5*D33*1000*(K27-0.075)*1000/(D34))*(1-SQRT(1-(4.6*1.5*D449*10000000/(D33*1000*((K27-0.075)*1000)^2)))),2)</f>
        <v>113.57</v>
      </c>
      <c r="E453" s="1" t="s">
        <v>237</v>
      </c>
      <c r="F453" s="24"/>
      <c r="G453" s="24"/>
      <c r="H453" s="24"/>
      <c r="I453" s="24"/>
      <c r="J453" s="24"/>
      <c r="K453" s="24"/>
      <c r="L453" s="24"/>
    </row>
    <row r="454" spans="1:12" ht="12.75">
      <c r="A454" s="24"/>
      <c r="B454" s="24"/>
      <c r="C454" s="121" t="s">
        <v>190</v>
      </c>
      <c r="D454" s="128">
        <v>0.12</v>
      </c>
      <c r="E454" s="1" t="s">
        <v>131</v>
      </c>
      <c r="F454" s="24"/>
      <c r="G454" s="24"/>
      <c r="H454" s="24"/>
      <c r="I454" s="24"/>
      <c r="J454" s="24"/>
      <c r="K454" s="24"/>
      <c r="L454" s="24"/>
    </row>
    <row r="455" spans="1:12" ht="14.25">
      <c r="A455" s="24"/>
      <c r="B455" s="24"/>
      <c r="C455" s="121" t="s">
        <v>184</v>
      </c>
      <c r="D455" s="124">
        <f>(D454/100)*1000*D41*1000</f>
        <v>899.9999999999999</v>
      </c>
      <c r="E455" s="1" t="s">
        <v>237</v>
      </c>
      <c r="F455" s="24"/>
      <c r="G455" s="24"/>
      <c r="H455" s="24"/>
      <c r="I455" s="24"/>
      <c r="J455" s="24"/>
      <c r="K455" s="24"/>
      <c r="L455" s="24"/>
    </row>
    <row r="456" spans="1:12" ht="12.75">
      <c r="A456" s="24"/>
      <c r="B456" s="24"/>
      <c r="C456" s="121" t="s">
        <v>191</v>
      </c>
      <c r="D456" s="124">
        <v>16</v>
      </c>
      <c r="E456" s="24" t="s">
        <v>192</v>
      </c>
      <c r="F456" s="24"/>
      <c r="G456" s="24"/>
      <c r="H456" s="24"/>
      <c r="I456" s="24"/>
      <c r="J456" s="24"/>
      <c r="K456" s="24"/>
      <c r="L456" s="24"/>
    </row>
    <row r="457" spans="1:12" ht="14.25">
      <c r="A457" s="24"/>
      <c r="B457" s="24"/>
      <c r="C457" s="121" t="s">
        <v>193</v>
      </c>
      <c r="D457" s="124">
        <f>0.785*D456^2</f>
        <v>200.96</v>
      </c>
      <c r="E457" s="1" t="s">
        <v>237</v>
      </c>
      <c r="F457" s="24"/>
      <c r="G457" s="24"/>
      <c r="H457" s="24"/>
      <c r="I457" s="24"/>
      <c r="J457" s="24"/>
      <c r="K457" s="24"/>
      <c r="L457" s="24"/>
    </row>
    <row r="458" spans="1:12" ht="12.75">
      <c r="A458" s="24"/>
      <c r="B458" s="24"/>
      <c r="C458" s="121" t="s">
        <v>194</v>
      </c>
      <c r="D458" s="124">
        <f>25*ROUNDDOWN(D457*1000/MAX(D453,D455)/25,0)</f>
        <v>200</v>
      </c>
      <c r="E458" s="24" t="s">
        <v>140</v>
      </c>
      <c r="F458" s="24"/>
      <c r="G458" s="24"/>
      <c r="H458" s="24"/>
      <c r="I458" s="24"/>
      <c r="J458" s="24"/>
      <c r="K458" s="24"/>
      <c r="L458" s="24"/>
    </row>
    <row r="459" spans="1:12" ht="12.75">
      <c r="A459" s="24"/>
      <c r="B459" s="24"/>
      <c r="C459" s="121" t="s">
        <v>195</v>
      </c>
      <c r="D459" s="128">
        <v>150</v>
      </c>
      <c r="E459" s="24"/>
      <c r="F459" s="24"/>
      <c r="G459" s="24"/>
      <c r="H459" s="24"/>
      <c r="I459" s="24"/>
      <c r="J459" s="24"/>
      <c r="K459" s="24"/>
      <c r="L459" s="24"/>
    </row>
    <row r="460" spans="1:12" ht="14.25">
      <c r="A460" s="24"/>
      <c r="B460" s="24"/>
      <c r="C460" s="121" t="s">
        <v>196</v>
      </c>
      <c r="D460" s="124">
        <f>ROUND(D457*1000/D459,2)</f>
        <v>1339.73</v>
      </c>
      <c r="E460" s="1" t="s">
        <v>237</v>
      </c>
      <c r="F460" s="24"/>
      <c r="G460" s="24"/>
      <c r="H460" s="24"/>
      <c r="I460" s="24"/>
      <c r="J460" s="24"/>
      <c r="K460" s="24"/>
      <c r="L460" s="24"/>
    </row>
    <row r="461" spans="1:12" ht="12.75">
      <c r="A461" s="24"/>
      <c r="B461" s="24"/>
      <c r="C461" s="125" t="str">
        <f>"Provide "&amp;D456&amp;" mm dia Bars @ "&amp;D459&amp;" mm spacing bothways"</f>
        <v>Provide 16 mm dia Bars @ 150 mm spacing bothways</v>
      </c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2.75">
      <c r="A462" s="24"/>
      <c r="B462" s="123" t="s">
        <v>197</v>
      </c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4.25">
      <c r="A463" s="24"/>
      <c r="B463" s="24"/>
      <c r="C463" s="94" t="s">
        <v>198</v>
      </c>
      <c r="D463" s="124">
        <f>D446</f>
        <v>6.53</v>
      </c>
      <c r="E463" t="s">
        <v>229</v>
      </c>
      <c r="F463" s="24"/>
      <c r="G463" s="24"/>
      <c r="H463" s="24"/>
      <c r="I463" s="24"/>
      <c r="J463" s="24"/>
      <c r="K463" s="24"/>
      <c r="L463" s="24"/>
    </row>
    <row r="464" spans="1:12" ht="12.75">
      <c r="A464" s="24"/>
      <c r="B464" s="24"/>
      <c r="C464" s="94" t="s">
        <v>199</v>
      </c>
      <c r="D464" s="124">
        <f>F19</f>
        <v>1.5</v>
      </c>
      <c r="E464" t="s">
        <v>11</v>
      </c>
      <c r="F464" s="24"/>
      <c r="G464" s="24"/>
      <c r="H464" s="24"/>
      <c r="I464" s="24"/>
      <c r="J464" s="24"/>
      <c r="K464" s="24"/>
      <c r="L464" s="24"/>
    </row>
    <row r="465" spans="1:12" ht="12.75">
      <c r="A465" s="24"/>
      <c r="B465" s="24"/>
      <c r="C465" s="94" t="s">
        <v>182</v>
      </c>
      <c r="D465" s="24" t="str">
        <f>CONCATENATE(D463," x ",D464," x ",D464," / ",10)</f>
        <v>6.53 x 1.5 x 1.5 / 10</v>
      </c>
      <c r="E465" s="24"/>
      <c r="F465" s="24"/>
      <c r="G465" s="24"/>
      <c r="H465" s="24"/>
      <c r="I465" s="24"/>
      <c r="J465" s="24"/>
      <c r="K465" s="24"/>
      <c r="L465" s="24"/>
    </row>
    <row r="466" spans="1:12" ht="12.75">
      <c r="A466" s="24"/>
      <c r="B466" s="24"/>
      <c r="C466" s="117" t="s">
        <v>14</v>
      </c>
      <c r="D466" s="124">
        <f>ROUND(D463*D464*D464/10,2)</f>
        <v>1.47</v>
      </c>
      <c r="E466" s="24" t="s">
        <v>183</v>
      </c>
      <c r="F466" s="24"/>
      <c r="G466" s="24"/>
      <c r="H466" s="24"/>
      <c r="I466" s="24"/>
      <c r="J466" s="24"/>
      <c r="K466" s="24"/>
      <c r="L466" s="24"/>
    </row>
    <row r="467" spans="1:12" ht="12.75">
      <c r="A467" s="24"/>
      <c r="B467" s="24"/>
      <c r="C467" s="121" t="s">
        <v>184</v>
      </c>
      <c r="D467" s="127" t="s">
        <v>185</v>
      </c>
      <c r="E467" s="127"/>
      <c r="F467" s="124" t="s">
        <v>186</v>
      </c>
      <c r="G467" s="127" t="s">
        <v>187</v>
      </c>
      <c r="H467" s="127"/>
      <c r="I467" s="24"/>
      <c r="J467" s="24"/>
      <c r="K467" s="24"/>
      <c r="L467" s="24"/>
    </row>
    <row r="468" spans="1:12" ht="12.75">
      <c r="A468" s="24"/>
      <c r="B468" s="24"/>
      <c r="C468" s="24"/>
      <c r="D468" s="127" t="s">
        <v>188</v>
      </c>
      <c r="E468" s="127"/>
      <c r="F468" s="24"/>
      <c r="G468" s="127" t="s">
        <v>189</v>
      </c>
      <c r="H468" s="127"/>
      <c r="I468" s="24"/>
      <c r="J468" s="24"/>
      <c r="K468" s="24"/>
      <c r="L468" s="24"/>
    </row>
    <row r="469" spans="1:12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4.25">
      <c r="A470" s="24"/>
      <c r="B470" s="24"/>
      <c r="C470" s="121" t="s">
        <v>184</v>
      </c>
      <c r="D470" s="124">
        <f>ROUND((0.5*D33*1000*(K27-0.075)*1000/(D34))*(1-SQRT(1-(4.6*1.5*D466*10000000/(D33*1000*((K27-0.075)*1000)^2)))),2)</f>
        <v>90.69</v>
      </c>
      <c r="E470" s="1" t="s">
        <v>237</v>
      </c>
      <c r="F470" s="24"/>
      <c r="G470" s="24"/>
      <c r="H470" s="24"/>
      <c r="I470" s="24"/>
      <c r="J470" s="24"/>
      <c r="K470" s="24"/>
      <c r="L470" s="24"/>
    </row>
    <row r="471" spans="1:12" ht="12.75">
      <c r="A471" s="24"/>
      <c r="B471" s="24"/>
      <c r="C471" s="121" t="s">
        <v>190</v>
      </c>
      <c r="D471" s="128">
        <v>0.12</v>
      </c>
      <c r="E471" s="1" t="s">
        <v>131</v>
      </c>
      <c r="F471" s="24"/>
      <c r="G471" s="24"/>
      <c r="H471" s="24"/>
      <c r="I471" s="24"/>
      <c r="J471" s="24"/>
      <c r="K471" s="24"/>
      <c r="L471" s="24"/>
    </row>
    <row r="472" spans="1:12" ht="14.25">
      <c r="A472" s="24"/>
      <c r="B472" s="24"/>
      <c r="C472" s="121" t="s">
        <v>184</v>
      </c>
      <c r="D472" s="124">
        <f>(D471/100)*1000*D41*1000</f>
        <v>899.9999999999999</v>
      </c>
      <c r="E472" s="1" t="s">
        <v>237</v>
      </c>
      <c r="F472" s="24"/>
      <c r="G472" s="24"/>
      <c r="H472" s="24"/>
      <c r="I472" s="24"/>
      <c r="J472" s="24"/>
      <c r="K472" s="24"/>
      <c r="L472" s="24"/>
    </row>
    <row r="473" spans="1:12" ht="12.75">
      <c r="A473" s="24"/>
      <c r="B473" s="24"/>
      <c r="C473" s="121" t="s">
        <v>191</v>
      </c>
      <c r="D473" s="124">
        <v>16</v>
      </c>
      <c r="E473" s="24" t="s">
        <v>192</v>
      </c>
      <c r="F473" s="24"/>
      <c r="G473" s="24" t="s">
        <v>122</v>
      </c>
      <c r="H473" s="24"/>
      <c r="I473" s="24"/>
      <c r="J473" s="24"/>
      <c r="K473" s="24"/>
      <c r="L473" s="24"/>
    </row>
    <row r="474" spans="1:12" ht="14.25">
      <c r="A474" s="24"/>
      <c r="B474" s="24"/>
      <c r="C474" s="121" t="s">
        <v>193</v>
      </c>
      <c r="D474" s="124">
        <f>0.785*D473^2</f>
        <v>200.96</v>
      </c>
      <c r="E474" s="1" t="s">
        <v>237</v>
      </c>
      <c r="F474" s="24"/>
      <c r="G474" s="24"/>
      <c r="H474" s="24"/>
      <c r="I474" s="24"/>
      <c r="J474" s="24"/>
      <c r="K474" s="24"/>
      <c r="L474" s="24"/>
    </row>
    <row r="475" spans="1:12" ht="12.75">
      <c r="A475" s="24"/>
      <c r="B475" s="24"/>
      <c r="C475" s="121" t="s">
        <v>194</v>
      </c>
      <c r="D475" s="124">
        <f>ROUNDDOWN(D474*1000/MAX(D470,D472),0)</f>
        <v>223</v>
      </c>
      <c r="E475" s="24" t="s">
        <v>140</v>
      </c>
      <c r="F475" s="24"/>
      <c r="G475" s="24"/>
      <c r="H475" s="24"/>
      <c r="I475" s="24"/>
      <c r="J475" s="24"/>
      <c r="K475" s="24"/>
      <c r="L475" s="24"/>
    </row>
    <row r="476" spans="1:12" ht="12.75">
      <c r="A476" s="24"/>
      <c r="B476" s="24"/>
      <c r="C476" s="121" t="s">
        <v>195</v>
      </c>
      <c r="D476" s="128">
        <v>150</v>
      </c>
      <c r="E476" s="24" t="s">
        <v>140</v>
      </c>
      <c r="F476" s="24"/>
      <c r="G476" s="24"/>
      <c r="H476" s="24"/>
      <c r="I476" s="24"/>
      <c r="J476" s="24"/>
      <c r="K476" s="24"/>
      <c r="L476" s="24"/>
    </row>
    <row r="477" spans="1:12" ht="14.25">
      <c r="A477" s="24"/>
      <c r="B477" s="24"/>
      <c r="C477" s="121" t="s">
        <v>196</v>
      </c>
      <c r="D477" s="124">
        <f>D474*1000/D476</f>
        <v>1339.7333333333333</v>
      </c>
      <c r="E477" s="1" t="s">
        <v>237</v>
      </c>
      <c r="F477" s="24"/>
      <c r="G477" s="24"/>
      <c r="H477" s="24"/>
      <c r="I477" s="24"/>
      <c r="J477" s="24"/>
      <c r="K477" s="24"/>
      <c r="L477" s="24"/>
    </row>
    <row r="478" spans="1:12" ht="12.75">
      <c r="A478" s="24"/>
      <c r="B478" s="24"/>
      <c r="C478" s="125" t="str">
        <f>"Provide "&amp;D473&amp;" mm dia Bars @ "&amp;D476&amp;" mm spacing bothways"</f>
        <v>Provide 16 mm dia Bars @ 150 mm spacing bothways</v>
      </c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3.5" thickBo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3.5" thickTop="1">
      <c r="A480" s="24"/>
      <c r="B480" s="129"/>
      <c r="C480" s="130" t="s">
        <v>200</v>
      </c>
      <c r="D480" s="131"/>
      <c r="E480" s="131"/>
      <c r="F480" s="131"/>
      <c r="G480" s="131"/>
      <c r="H480" s="132"/>
      <c r="I480" s="132"/>
      <c r="J480" s="133"/>
      <c r="K480" s="24"/>
      <c r="L480" s="24"/>
    </row>
    <row r="481" spans="1:12" ht="12.75">
      <c r="A481" s="24"/>
      <c r="B481" s="134"/>
      <c r="C481" s="95"/>
      <c r="D481" s="135" t="s">
        <v>201</v>
      </c>
      <c r="E481" s="136">
        <f>D39*1000</f>
        <v>3000</v>
      </c>
      <c r="F481" s="95" t="s">
        <v>140</v>
      </c>
      <c r="G481" s="95"/>
      <c r="H481" s="32"/>
      <c r="I481" s="32"/>
      <c r="J481" s="137"/>
      <c r="K481" s="24"/>
      <c r="L481" s="24"/>
    </row>
    <row r="482" spans="1:12" ht="12.75">
      <c r="A482" s="24"/>
      <c r="B482" s="134"/>
      <c r="C482" s="95"/>
      <c r="D482" s="135" t="s">
        <v>202</v>
      </c>
      <c r="E482" s="136">
        <f>D40*1000</f>
        <v>3599.9999999999995</v>
      </c>
      <c r="F482" s="95" t="s">
        <v>140</v>
      </c>
      <c r="G482" s="95"/>
      <c r="H482" s="32"/>
      <c r="I482" s="32"/>
      <c r="J482" s="137"/>
      <c r="K482" s="24"/>
      <c r="L482" s="24"/>
    </row>
    <row r="483" spans="1:12" ht="12.75">
      <c r="A483" s="24"/>
      <c r="B483" s="134"/>
      <c r="C483" s="95"/>
      <c r="D483" s="135" t="s">
        <v>203</v>
      </c>
      <c r="E483" s="136">
        <f>D41*1000</f>
        <v>750</v>
      </c>
      <c r="F483" s="95" t="s">
        <v>140</v>
      </c>
      <c r="G483" s="95"/>
      <c r="H483" s="32"/>
      <c r="I483" s="32"/>
      <c r="J483" s="137"/>
      <c r="K483" s="24"/>
      <c r="L483" s="24"/>
    </row>
    <row r="484" spans="1:12" ht="12.75">
      <c r="A484" s="24"/>
      <c r="B484" s="134"/>
      <c r="C484" s="95"/>
      <c r="D484" s="135" t="s">
        <v>204</v>
      </c>
      <c r="E484" s="136"/>
      <c r="F484" s="95"/>
      <c r="G484" s="95"/>
      <c r="H484" s="32"/>
      <c r="I484" s="32"/>
      <c r="J484" s="137"/>
      <c r="K484" s="13"/>
      <c r="L484" s="13"/>
    </row>
    <row r="485" spans="1:12" ht="12.75">
      <c r="A485" s="24"/>
      <c r="B485" s="134"/>
      <c r="C485" s="95"/>
      <c r="D485" s="135" t="s">
        <v>205</v>
      </c>
      <c r="E485" s="138" t="str">
        <f>C478</f>
        <v>Provide 16 mm dia Bars @ 150 mm spacing bothways</v>
      </c>
      <c r="F485" s="95"/>
      <c r="G485" s="95"/>
      <c r="H485" s="32"/>
      <c r="I485" s="32"/>
      <c r="J485" s="137"/>
      <c r="K485" s="13"/>
      <c r="L485" s="13"/>
    </row>
    <row r="486" spans="1:12" ht="13.5" thickBot="1">
      <c r="A486" s="24"/>
      <c r="B486" s="139"/>
      <c r="C486" s="140"/>
      <c r="D486" s="141" t="s">
        <v>206</v>
      </c>
      <c r="E486" s="140" t="str">
        <f>C461</f>
        <v>Provide 16 mm dia Bars @ 150 mm spacing bothways</v>
      </c>
      <c r="F486" s="140"/>
      <c r="G486" s="140"/>
      <c r="H486" s="142"/>
      <c r="I486" s="142"/>
      <c r="J486" s="143"/>
      <c r="K486" s="32"/>
      <c r="L486" s="32"/>
    </row>
    <row r="487" spans="1:12" ht="13.5" thickTop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24"/>
      <c r="L487" s="24"/>
    </row>
    <row r="488" spans="1:12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24"/>
      <c r="L488" s="24"/>
    </row>
    <row r="489" spans="1:12" ht="15.75">
      <c r="A489" s="144"/>
      <c r="B489" s="145"/>
      <c r="C489" s="145"/>
      <c r="D489" s="145"/>
      <c r="E489" s="146"/>
      <c r="F489" s="145"/>
      <c r="G489" s="145"/>
      <c r="H489" s="145"/>
      <c r="I489" s="145"/>
      <c r="J489" s="32"/>
      <c r="K489" s="13"/>
      <c r="L489" s="13"/>
    </row>
    <row r="490" spans="1:12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13"/>
      <c r="L490" s="13"/>
    </row>
    <row r="491" spans="1:12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13"/>
      <c r="L491" s="13"/>
    </row>
    <row r="492" spans="1:12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0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</sheetData>
  <mergeCells count="3">
    <mergeCell ref="I237:I238"/>
    <mergeCell ref="C387:C388"/>
    <mergeCell ref="B396:C397"/>
  </mergeCells>
  <dataValidations count="2">
    <dataValidation type="list" allowBlank="1" showInputMessage="1" showErrorMessage="1" sqref="D456 D473">
      <formula1>"8,10,12,16,20"</formula1>
    </dataValidation>
    <dataValidation type="list" allowBlank="1" showInputMessage="1" showErrorMessage="1" sqref="D350">
      <formula1>"Limit State Method,Working Stress Method"</formula1>
    </dataValidation>
  </dataValidations>
  <printOptions horizontalCentered="1" verticalCentered="1"/>
  <pageMargins left="0.5" right="0.5" top="0.5" bottom="0.5" header="0.5" footer="0.5"/>
  <pageSetup horizontalDpi="300" verticalDpi="300" orientation="portrait" paperSize="9" scale="72" r:id="rId2"/>
  <rowBreaks count="6" manualBreakCount="6">
    <brk id="63" max="12" man="1"/>
    <brk id="145" max="12" man="1"/>
    <brk id="228" max="12" man="1"/>
    <brk id="304" max="12" man="1"/>
    <brk id="363" max="12" man="1"/>
    <brk id="43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prothious</cp:lastModifiedBy>
  <cp:lastPrinted>2009-07-17T05:19:19Z</cp:lastPrinted>
  <dcterms:created xsi:type="dcterms:W3CDTF">2008-07-07T12:01:30Z</dcterms:created>
  <dcterms:modified xsi:type="dcterms:W3CDTF">2009-07-17T13:17:28Z</dcterms:modified>
  <cp:category/>
  <cp:version/>
  <cp:contentType/>
  <cp:contentStatus/>
</cp:coreProperties>
</file>